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115" windowHeight="8460" tabRatio="599" firstSheet="7" activeTab="9"/>
  </bookViews>
  <sheets>
    <sheet name="sans les rendements" sheetId="1" r:id="rId1"/>
    <sheet name="avec rendement en montée" sheetId="2" r:id="rId2"/>
    <sheet name="P=f(v) en montée" sheetId="3" r:id="rId3"/>
    <sheet name="avec rendement en descente" sheetId="4" r:id="rId4"/>
    <sheet name="P=f(v) en descente" sheetId="5" r:id="rId5"/>
    <sheet name="rendement moteur" sheetId="6" r:id="rId6"/>
    <sheet name="Ex course" sheetId="7" r:id="rId7"/>
    <sheet name="tableau conso energie pour 1km" sheetId="8" r:id="rId8"/>
    <sheet name="tableau recup energie pour 1km" sheetId="9" r:id="rId9"/>
    <sheet name="acceleration" sheetId="10" r:id="rId10"/>
  </sheets>
  <definedNames/>
  <calcPr fullCalcOnLoad="1"/>
</workbook>
</file>

<file path=xl/sharedStrings.xml><?xml version="1.0" encoding="utf-8"?>
<sst xmlns="http://schemas.openxmlformats.org/spreadsheetml/2006/main" count="332" uniqueCount="82">
  <si>
    <t>sur le plat</t>
  </si>
  <si>
    <t>constante</t>
  </si>
  <si>
    <t>rho</t>
  </si>
  <si>
    <t>Cx</t>
  </si>
  <si>
    <t>Pbatterie 4x800Wh</t>
  </si>
  <si>
    <t>Pmoy panneau solaire W</t>
  </si>
  <si>
    <t>surface de resistance a l'air(m²)</t>
  </si>
  <si>
    <t>poid</t>
  </si>
  <si>
    <t>g</t>
  </si>
  <si>
    <t>coef de frottement</t>
  </si>
  <si>
    <t>rayon roue</t>
  </si>
  <si>
    <t>pas de force g sur le plat</t>
  </si>
  <si>
    <t>P2 resistance a l'air (W)</t>
  </si>
  <si>
    <t>P1 puissance du a la gravité (la pente p en W)</t>
  </si>
  <si>
    <t>P1</t>
  </si>
  <si>
    <t>P2</t>
  </si>
  <si>
    <t>P3</t>
  </si>
  <si>
    <r>
      <t xml:space="preserve">E </t>
    </r>
    <r>
      <rPr>
        <sz val="10"/>
        <rFont val="Arial"/>
        <family val="0"/>
      </rPr>
      <t>des puissances</t>
    </r>
  </si>
  <si>
    <t>vitesse</t>
  </si>
  <si>
    <t>km/h</t>
  </si>
  <si>
    <t>m/s</t>
  </si>
  <si>
    <r>
      <t xml:space="preserve">E </t>
    </r>
    <r>
      <rPr>
        <sz val="10"/>
        <rFont val="Arial"/>
        <family val="0"/>
      </rPr>
      <t>des puissances (W)</t>
    </r>
  </si>
  <si>
    <t>P3 Force de frottement (W)</t>
  </si>
  <si>
    <t>Pmax horraire moy Wh</t>
  </si>
  <si>
    <t>Wmin</t>
  </si>
  <si>
    <t>Ws</t>
  </si>
  <si>
    <t>utilisation des panneaux seul</t>
  </si>
  <si>
    <t>temps correspondant h</t>
  </si>
  <si>
    <t>distance correspondant km</t>
  </si>
  <si>
    <t>fonctionnement sur batterie</t>
  </si>
  <si>
    <t>p=%</t>
  </si>
  <si>
    <t>rendement moteur</t>
  </si>
  <si>
    <t>rendement batterie</t>
  </si>
  <si>
    <t>rendement electronique</t>
  </si>
  <si>
    <t>r global</t>
  </si>
  <si>
    <t>Imax/moteur</t>
  </si>
  <si>
    <t>U</t>
  </si>
  <si>
    <t>Pmax</t>
  </si>
  <si>
    <t>équation de la droite</t>
  </si>
  <si>
    <t>Courbe de rendement</t>
  </si>
  <si>
    <t>a</t>
  </si>
  <si>
    <t>b</t>
  </si>
  <si>
    <t>x</t>
  </si>
  <si>
    <t>tr/min</t>
  </si>
  <si>
    <t>w rd/s</t>
  </si>
  <si>
    <t>rendement</t>
  </si>
  <si>
    <t>P à développer</t>
  </si>
  <si>
    <t>rendement électronique</t>
  </si>
  <si>
    <t>P à developper</t>
  </si>
  <si>
    <t>P à récupérer W</t>
  </si>
  <si>
    <t>test puissance</t>
  </si>
  <si>
    <t>p=0%</t>
  </si>
  <si>
    <t>p=4%</t>
  </si>
  <si>
    <t>p=8%</t>
  </si>
  <si>
    <t>p=12%</t>
  </si>
  <si>
    <t>p=14%</t>
  </si>
  <si>
    <t>p=16%</t>
  </si>
  <si>
    <t>v</t>
  </si>
  <si>
    <t>EP</t>
  </si>
  <si>
    <t>EP/n</t>
  </si>
  <si>
    <t>t</t>
  </si>
  <si>
    <t>Jwr</t>
  </si>
  <si>
    <t>Jr joules</t>
  </si>
  <si>
    <t>redement</t>
  </si>
  <si>
    <t>energie consommée</t>
  </si>
  <si>
    <t>v=wr</t>
  </si>
  <si>
    <t>t=60*w/2PI</t>
  </si>
  <si>
    <t>d</t>
  </si>
  <si>
    <t>1km</t>
  </si>
  <si>
    <t>pente variable</t>
  </si>
  <si>
    <t>pente</t>
  </si>
  <si>
    <t>r mot</t>
  </si>
  <si>
    <t>r elec</t>
  </si>
  <si>
    <t>limite en puissance avec E=0 W/m²</t>
  </si>
  <si>
    <t>limite en puissance avec E=250 W/m²</t>
  </si>
  <si>
    <t>limite en puissance avec E=500 W/m²</t>
  </si>
  <si>
    <t>limite en puissance avec E=750 W/m²</t>
  </si>
  <si>
    <t>limite en puissance avec E=1000 W/m²</t>
  </si>
  <si>
    <t>m</t>
  </si>
  <si>
    <t>m*a</t>
  </si>
  <si>
    <t>v km/h</t>
  </si>
  <si>
    <t xml:space="preserve"> pente     km/h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</si>
</sst>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5"/>
      <name val="Arial"/>
      <family val="0"/>
    </font>
    <font>
      <sz val="20.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medium"/>
      <top style="medium"/>
      <bottom style="thin"/>
      <diagonal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shrinkToFi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7625"/>
          <c:w val="0.980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'avec rendement en montée'!$A$13</c:f>
              <c:strCache>
                <c:ptCount val="1"/>
                <c:pt idx="0">
                  <c:v>p=0%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'avec rendement en montée'!$D$4:$T$4</c:f>
              <c:numCache>
                <c:ptCount val="17"/>
                <c:pt idx="0">
                  <c:v>10</c:v>
                </c:pt>
                <c:pt idx="1">
                  <c:v>12.5</c:v>
                </c:pt>
                <c:pt idx="2">
                  <c:v>15</c:v>
                </c:pt>
                <c:pt idx="3">
                  <c:v>17.5</c:v>
                </c:pt>
                <c:pt idx="4">
                  <c:v>20</c:v>
                </c:pt>
                <c:pt idx="5">
                  <c:v>22.5</c:v>
                </c:pt>
                <c:pt idx="6">
                  <c:v>25</c:v>
                </c:pt>
                <c:pt idx="7">
                  <c:v>27.5</c:v>
                </c:pt>
                <c:pt idx="8">
                  <c:v>30</c:v>
                </c:pt>
                <c:pt idx="9">
                  <c:v>32.5</c:v>
                </c:pt>
                <c:pt idx="10">
                  <c:v>35</c:v>
                </c:pt>
                <c:pt idx="11">
                  <c:v>37.5</c:v>
                </c:pt>
                <c:pt idx="12">
                  <c:v>40</c:v>
                </c:pt>
                <c:pt idx="13">
                  <c:v>42.5</c:v>
                </c:pt>
                <c:pt idx="14">
                  <c:v>45</c:v>
                </c:pt>
                <c:pt idx="15">
                  <c:v>47.5</c:v>
                </c:pt>
                <c:pt idx="16">
                  <c:v>50</c:v>
                </c:pt>
              </c:numCache>
            </c:numRef>
          </c:cat>
          <c:val>
            <c:numRef>
              <c:f>'avec rendement en montée'!$D$12:$T$12</c:f>
              <c:numCache>
                <c:ptCount val="17"/>
                <c:pt idx="0">
                  <c:v>40.505884158347826</c:v>
                </c:pt>
                <c:pt idx="1">
                  <c:v>52.09824611645042</c:v>
                </c:pt>
                <c:pt idx="2">
                  <c:v>64.2115378700263</c:v>
                </c:pt>
                <c:pt idx="3">
                  <c:v>76.81722694970844</c:v>
                </c:pt>
                <c:pt idx="4">
                  <c:v>89.88882723974513</c:v>
                </c:pt>
                <c:pt idx="5">
                  <c:v>103.40171875339284</c:v>
                </c:pt>
                <c:pt idx="6">
                  <c:v>117.33298612571151</c:v>
                </c:pt>
                <c:pt idx="7">
                  <c:v>131.66127359444977</c:v>
                </c:pt>
                <c:pt idx="8">
                  <c:v>146.36665453808277</c:v>
                </c:pt>
                <c:pt idx="9">
                  <c:v>161.43051389425048</c:v>
                </c:pt>
                <c:pt idx="10">
                  <c:v>176.83544199899873</c:v>
                </c:pt>
                <c:pt idx="11">
                  <c:v>192.5651385732404</c:v>
                </c:pt>
                <c:pt idx="12">
                  <c:v>208.6043257426236</c:v>
                </c:pt>
                <c:pt idx="13">
                  <c:v>224.93866911455794</c:v>
                </c:pt>
                <c:pt idx="14">
                  <c:v>241.5547060548939</c:v>
                </c:pt>
                <c:pt idx="15">
                  <c:v>258.43978040948764</c:v>
                </c:pt>
                <c:pt idx="16">
                  <c:v>275.5819830049782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'avec rendement en montée'!$A$16</c:f>
              <c:strCache>
                <c:ptCount val="1"/>
                <c:pt idx="0">
                  <c:v>p=4%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montée'!$D$20:$T$20</c:f>
              <c:numCache>
                <c:ptCount val="17"/>
                <c:pt idx="0">
                  <c:v>301.2649856141108</c:v>
                </c:pt>
                <c:pt idx="1">
                  <c:v>371.8706101237485</c:v>
                </c:pt>
                <c:pt idx="2">
                  <c:v>440.80223333578533</c:v>
                </c:pt>
                <c:pt idx="3">
                  <c:v>508.1515439790278</c:v>
                </c:pt>
                <c:pt idx="4">
                  <c:v>574.0036548508663</c:v>
                </c:pt>
                <c:pt idx="5">
                  <c:v>638.4376819667666</c:v>
                </c:pt>
                <c:pt idx="6">
                  <c:v>701.5272635616278</c:v>
                </c:pt>
                <c:pt idx="7">
                  <c:v>763.3410261068681</c:v>
                </c:pt>
                <c:pt idx="8">
                  <c:v>823.9430035482889</c:v>
                </c:pt>
                <c:pt idx="9">
                  <c:v>883.3930151529311</c:v>
                </c:pt>
                <c:pt idx="10">
                  <c:v>941.7470066553328</c:v>
                </c:pt>
                <c:pt idx="11">
                  <c:v>999.0573587958168</c:v>
                </c:pt>
                <c:pt idx="12">
                  <c:v>1055.373166830043</c:v>
                </c:pt>
                <c:pt idx="13">
                  <c:v>1110.7404941469842</c:v>
                </c:pt>
                <c:pt idx="14">
                  <c:v>1165.2026027509091</c:v>
                </c:pt>
                <c:pt idx="15">
                  <c:v>1218.8001630328072</c:v>
                </c:pt>
                <c:pt idx="16">
                  <c:v>1271.5714449703835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'avec rendement en montée'!$A$25</c:f>
              <c:strCache>
                <c:ptCount val="1"/>
                <c:pt idx="0">
                  <c:v>p=8%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montée'!$D$29:$T$29</c:f>
              <c:numCache>
                <c:ptCount val="17"/>
                <c:pt idx="0">
                  <c:v>562.0240870698738</c:v>
                </c:pt>
                <c:pt idx="1">
                  <c:v>691.6429741310466</c:v>
                </c:pt>
                <c:pt idx="2">
                  <c:v>817.3929288015445</c:v>
                </c:pt>
                <c:pt idx="3">
                  <c:v>939.4858610083471</c:v>
                </c:pt>
                <c:pt idx="4">
                  <c:v>1058.1184824619872</c:v>
                </c:pt>
                <c:pt idx="5">
                  <c:v>1173.4736451801405</c:v>
                </c:pt>
                <c:pt idx="6">
                  <c:v>1285.7215409975443</c:v>
                </c:pt>
                <c:pt idx="7">
                  <c:v>1395.0207786192861</c:v>
                </c:pt>
                <c:pt idx="8">
                  <c:v>1501.519352558495</c:v>
                </c:pt>
                <c:pt idx="9">
                  <c:v>1605.3555164116117</c:v>
                </c:pt>
                <c:pt idx="10">
                  <c:v>1706.6585713116672</c:v>
                </c:pt>
                <c:pt idx="11">
                  <c:v>1805.5495790183934</c:v>
                </c:pt>
                <c:pt idx="12">
                  <c:v>1902.1420079174623</c:v>
                </c:pt>
                <c:pt idx="13">
                  <c:v>1996.5423191794102</c:v>
                </c:pt>
                <c:pt idx="14">
                  <c:v>2088.8504994469245</c:v>
                </c:pt>
                <c:pt idx="15">
                  <c:v>2179.1605456561265</c:v>
                </c:pt>
                <c:pt idx="16">
                  <c:v>2267.560906935789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'avec rendement en montée'!$A$34</c:f>
              <c:strCache>
                <c:ptCount val="1"/>
                <c:pt idx="0">
                  <c:v>p=12%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montée'!$D$38:$T$38</c:f>
              <c:numCache>
                <c:ptCount val="17"/>
                <c:pt idx="0">
                  <c:v>822.7831885256367</c:v>
                </c:pt>
                <c:pt idx="1">
                  <c:v>1011.4153381383445</c:v>
                </c:pt>
                <c:pt idx="2">
                  <c:v>1193.9836242673032</c:v>
                </c:pt>
                <c:pt idx="3">
                  <c:v>1370.820178037666</c:v>
                </c:pt>
                <c:pt idx="4">
                  <c:v>1542.2333100731078</c:v>
                </c:pt>
                <c:pt idx="5">
                  <c:v>1708.509608393514</c:v>
                </c:pt>
                <c:pt idx="6">
                  <c:v>1869.9158184334601</c:v>
                </c:pt>
                <c:pt idx="7">
                  <c:v>2026.700531131704</c:v>
                </c:pt>
                <c:pt idx="8">
                  <c:v>2179.095701568701</c:v>
                </c:pt>
                <c:pt idx="9">
                  <c:v>2327.3180176702917</c:v>
                </c:pt>
                <c:pt idx="10">
                  <c:v>2471.5701359680006</c:v>
                </c:pt>
                <c:pt idx="11">
                  <c:v>2612.0417992409693</c:v>
                </c:pt>
                <c:pt idx="12">
                  <c:v>2748.910849004881</c:v>
                </c:pt>
                <c:pt idx="13">
                  <c:v>2882.3441442118365</c:v>
                </c:pt>
                <c:pt idx="14">
                  <c:v>3012.49839614294</c:v>
                </c:pt>
                <c:pt idx="15">
                  <c:v>3139.5209282794453</c:v>
                </c:pt>
                <c:pt idx="16">
                  <c:v>3263.550368901194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'avec rendement en montée'!$A$43</c:f>
              <c:strCache>
                <c:ptCount val="1"/>
                <c:pt idx="0">
                  <c:v>p=14%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montée'!$D$47:$T$47</c:f>
              <c:numCache>
                <c:ptCount val="17"/>
                <c:pt idx="0">
                  <c:v>953.1627392535186</c:v>
                </c:pt>
                <c:pt idx="1">
                  <c:v>1171.3015201419937</c:v>
                </c:pt>
                <c:pt idx="2">
                  <c:v>1382.278972000183</c:v>
                </c:pt>
                <c:pt idx="3">
                  <c:v>1586.487336552326</c:v>
                </c:pt>
                <c:pt idx="4">
                  <c:v>1784.290723878669</c:v>
                </c:pt>
                <c:pt idx="5">
                  <c:v>1976.0275900002011</c:v>
                </c:pt>
                <c:pt idx="6">
                  <c:v>2162.0129571514185</c:v>
                </c:pt>
                <c:pt idx="7">
                  <c:v>2342.5404073879135</c:v>
                </c:pt>
                <c:pt idx="8">
                  <c:v>2517.8838760738045</c:v>
                </c:pt>
                <c:pt idx="9">
                  <c:v>2688.2992682996332</c:v>
                </c:pt>
                <c:pt idx="10">
                  <c:v>2854.025918296168</c:v>
                </c:pt>
                <c:pt idx="11">
                  <c:v>3015.2879093522583</c:v>
                </c:pt>
                <c:pt idx="12">
                  <c:v>3172.2952695485915</c:v>
                </c:pt>
                <c:pt idx="13">
                  <c:v>3325.2450567280503</c:v>
                </c:pt>
                <c:pt idx="14">
                  <c:v>3474.3223444909477</c:v>
                </c:pt>
                <c:pt idx="15">
                  <c:v>3619.7011195911055</c:v>
                </c:pt>
                <c:pt idx="16">
                  <c:v>3761.5450998838974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'avec rendement en montée'!$A$52</c:f>
              <c:strCache>
                <c:ptCount val="1"/>
                <c:pt idx="0">
                  <c:v>p=16%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montée'!$D$56:$T$56</c:f>
              <c:numCache>
                <c:ptCount val="17"/>
                <c:pt idx="0">
                  <c:v>1083.5422899814</c:v>
                </c:pt>
                <c:pt idx="1">
                  <c:v>1331.1877021456428</c:v>
                </c:pt>
                <c:pt idx="2">
                  <c:v>1570.5743197330623</c:v>
                </c:pt>
                <c:pt idx="3">
                  <c:v>1802.1544950669852</c:v>
                </c:pt>
                <c:pt idx="4">
                  <c:v>2026.3481376842294</c:v>
                </c:pt>
                <c:pt idx="5">
                  <c:v>2243.5455716068877</c:v>
                </c:pt>
                <c:pt idx="6">
                  <c:v>2454.110095869377</c:v>
                </c:pt>
                <c:pt idx="7">
                  <c:v>2658.3802836441228</c:v>
                </c:pt>
                <c:pt idx="8">
                  <c:v>2856.672050578907</c:v>
                </c:pt>
                <c:pt idx="9">
                  <c:v>3049.2805189289725</c:v>
                </c:pt>
                <c:pt idx="10">
                  <c:v>3236.4817006243347</c:v>
                </c:pt>
                <c:pt idx="11">
                  <c:v>3418.534019463546</c:v>
                </c:pt>
                <c:pt idx="12">
                  <c:v>3595.679690092301</c:v>
                </c:pt>
                <c:pt idx="13">
                  <c:v>3768.1459692442627</c:v>
                </c:pt>
                <c:pt idx="14">
                  <c:v>3936.146292838955</c:v>
                </c:pt>
                <c:pt idx="15">
                  <c:v>4099.881310902765</c:v>
                </c:pt>
                <c:pt idx="16">
                  <c:v>4259.5398308666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'avec rendement en montée'!$B$61</c:f>
              <c:strCache>
                <c:ptCount val="1"/>
                <c:pt idx="0">
                  <c:v>limite en puissance avec E=0 W/m²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montée'!$D$61:$T$61</c:f>
              <c:numCache>
                <c:ptCount val="17"/>
                <c:pt idx="0">
                  <c:v>1920</c:v>
                </c:pt>
                <c:pt idx="1">
                  <c:v>1920</c:v>
                </c:pt>
                <c:pt idx="2">
                  <c:v>1920</c:v>
                </c:pt>
                <c:pt idx="3">
                  <c:v>1920</c:v>
                </c:pt>
                <c:pt idx="4">
                  <c:v>1920</c:v>
                </c:pt>
                <c:pt idx="5">
                  <c:v>1920</c:v>
                </c:pt>
                <c:pt idx="6">
                  <c:v>1920</c:v>
                </c:pt>
                <c:pt idx="7">
                  <c:v>1920</c:v>
                </c:pt>
                <c:pt idx="8">
                  <c:v>1920</c:v>
                </c:pt>
                <c:pt idx="9">
                  <c:v>1920</c:v>
                </c:pt>
                <c:pt idx="10">
                  <c:v>1920</c:v>
                </c:pt>
                <c:pt idx="11">
                  <c:v>1920</c:v>
                </c:pt>
                <c:pt idx="12">
                  <c:v>1920</c:v>
                </c:pt>
                <c:pt idx="13">
                  <c:v>1920</c:v>
                </c:pt>
                <c:pt idx="14">
                  <c:v>1920</c:v>
                </c:pt>
                <c:pt idx="15">
                  <c:v>1920</c:v>
                </c:pt>
                <c:pt idx="16">
                  <c:v>1920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'avec rendement en montée'!$B$62:$C$62</c:f>
              <c:strCache>
                <c:ptCount val="1"/>
                <c:pt idx="0">
                  <c:v>limite en puissance avec E=250 W/m²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montée'!$D$62:$T$62</c:f>
              <c:numCache>
                <c:ptCount val="17"/>
                <c:pt idx="0">
                  <c:v>1770</c:v>
                </c:pt>
                <c:pt idx="1">
                  <c:v>1770</c:v>
                </c:pt>
                <c:pt idx="2">
                  <c:v>1770</c:v>
                </c:pt>
                <c:pt idx="3">
                  <c:v>1770</c:v>
                </c:pt>
                <c:pt idx="4">
                  <c:v>1770</c:v>
                </c:pt>
                <c:pt idx="5">
                  <c:v>1770</c:v>
                </c:pt>
                <c:pt idx="6">
                  <c:v>1770</c:v>
                </c:pt>
                <c:pt idx="7">
                  <c:v>1770</c:v>
                </c:pt>
                <c:pt idx="8">
                  <c:v>1770</c:v>
                </c:pt>
                <c:pt idx="9">
                  <c:v>1770</c:v>
                </c:pt>
                <c:pt idx="10">
                  <c:v>1770</c:v>
                </c:pt>
                <c:pt idx="11">
                  <c:v>1770</c:v>
                </c:pt>
                <c:pt idx="12">
                  <c:v>1770</c:v>
                </c:pt>
                <c:pt idx="13">
                  <c:v>1770</c:v>
                </c:pt>
                <c:pt idx="14">
                  <c:v>1770</c:v>
                </c:pt>
                <c:pt idx="15">
                  <c:v>1770</c:v>
                </c:pt>
                <c:pt idx="16">
                  <c:v>1770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'avec rendement en montée'!$B$63:$C$63</c:f>
              <c:strCache>
                <c:ptCount val="1"/>
                <c:pt idx="0">
                  <c:v>limite en puissance avec E=500 W/m²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montée'!$D$63:$T$63</c:f>
              <c:numCache>
                <c:ptCount val="17"/>
                <c:pt idx="0">
                  <c:v>1620</c:v>
                </c:pt>
                <c:pt idx="1">
                  <c:v>1620</c:v>
                </c:pt>
                <c:pt idx="2">
                  <c:v>1620</c:v>
                </c:pt>
                <c:pt idx="3">
                  <c:v>1620</c:v>
                </c:pt>
                <c:pt idx="4">
                  <c:v>1620</c:v>
                </c:pt>
                <c:pt idx="5">
                  <c:v>1620</c:v>
                </c:pt>
                <c:pt idx="6">
                  <c:v>1620</c:v>
                </c:pt>
                <c:pt idx="7">
                  <c:v>1620</c:v>
                </c:pt>
                <c:pt idx="8">
                  <c:v>1620</c:v>
                </c:pt>
                <c:pt idx="9">
                  <c:v>1620</c:v>
                </c:pt>
                <c:pt idx="10">
                  <c:v>1620</c:v>
                </c:pt>
                <c:pt idx="11">
                  <c:v>1620</c:v>
                </c:pt>
                <c:pt idx="12">
                  <c:v>1620</c:v>
                </c:pt>
                <c:pt idx="13">
                  <c:v>1620</c:v>
                </c:pt>
                <c:pt idx="14">
                  <c:v>1620</c:v>
                </c:pt>
                <c:pt idx="15">
                  <c:v>1620</c:v>
                </c:pt>
                <c:pt idx="16">
                  <c:v>1620</c:v>
                </c:pt>
              </c:numCache>
            </c:numRef>
          </c:val>
          <c:smooth val="1"/>
        </c:ser>
        <c:ser>
          <c:idx val="9"/>
          <c:order val="9"/>
          <c:tx>
            <c:strRef>
              <c:f>'avec rendement en montée'!$B$64:$C$64</c:f>
              <c:strCache>
                <c:ptCount val="1"/>
                <c:pt idx="0">
                  <c:v>limite en puissance avec E=750 W/m²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montée'!$D$64:$T$64</c:f>
              <c:numCache>
                <c:ptCount val="17"/>
                <c:pt idx="0">
                  <c:v>1470</c:v>
                </c:pt>
                <c:pt idx="1">
                  <c:v>1470</c:v>
                </c:pt>
                <c:pt idx="2">
                  <c:v>1470</c:v>
                </c:pt>
                <c:pt idx="3">
                  <c:v>1470</c:v>
                </c:pt>
                <c:pt idx="4">
                  <c:v>1470</c:v>
                </c:pt>
                <c:pt idx="5">
                  <c:v>1470</c:v>
                </c:pt>
                <c:pt idx="6">
                  <c:v>1470</c:v>
                </c:pt>
                <c:pt idx="7">
                  <c:v>1470</c:v>
                </c:pt>
                <c:pt idx="8">
                  <c:v>1470</c:v>
                </c:pt>
                <c:pt idx="9">
                  <c:v>1470</c:v>
                </c:pt>
                <c:pt idx="10">
                  <c:v>1470</c:v>
                </c:pt>
                <c:pt idx="11">
                  <c:v>1470</c:v>
                </c:pt>
                <c:pt idx="12">
                  <c:v>1470</c:v>
                </c:pt>
                <c:pt idx="13">
                  <c:v>1470</c:v>
                </c:pt>
                <c:pt idx="14">
                  <c:v>1470</c:v>
                </c:pt>
                <c:pt idx="15">
                  <c:v>1470</c:v>
                </c:pt>
                <c:pt idx="16">
                  <c:v>1470</c:v>
                </c:pt>
              </c:numCache>
            </c:numRef>
          </c:val>
          <c:smooth val="1"/>
        </c:ser>
        <c:ser>
          <c:idx val="10"/>
          <c:order val="10"/>
          <c:tx>
            <c:strRef>
              <c:f>'avec rendement en montée'!$B$65:$C$65</c:f>
              <c:strCache>
                <c:ptCount val="1"/>
                <c:pt idx="0">
                  <c:v>limite en puissance avec E=1000 W/m²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montée'!$D$65:$T$65</c:f>
              <c:numCache>
                <c:ptCount val="17"/>
                <c:pt idx="0">
                  <c:v>1320</c:v>
                </c:pt>
                <c:pt idx="1">
                  <c:v>1320</c:v>
                </c:pt>
                <c:pt idx="2">
                  <c:v>1320</c:v>
                </c:pt>
                <c:pt idx="3">
                  <c:v>1320</c:v>
                </c:pt>
                <c:pt idx="4">
                  <c:v>1320</c:v>
                </c:pt>
                <c:pt idx="5">
                  <c:v>1320</c:v>
                </c:pt>
                <c:pt idx="6">
                  <c:v>1320</c:v>
                </c:pt>
                <c:pt idx="7">
                  <c:v>1320</c:v>
                </c:pt>
                <c:pt idx="8">
                  <c:v>1320</c:v>
                </c:pt>
                <c:pt idx="9">
                  <c:v>1320</c:v>
                </c:pt>
                <c:pt idx="10">
                  <c:v>1320</c:v>
                </c:pt>
                <c:pt idx="11">
                  <c:v>1320</c:v>
                </c:pt>
                <c:pt idx="12">
                  <c:v>1320</c:v>
                </c:pt>
                <c:pt idx="13">
                  <c:v>1320</c:v>
                </c:pt>
                <c:pt idx="14">
                  <c:v>1320</c:v>
                </c:pt>
                <c:pt idx="15">
                  <c:v>1320</c:v>
                </c:pt>
                <c:pt idx="16">
                  <c:v>1320</c:v>
                </c:pt>
              </c:numCache>
            </c:numRef>
          </c:val>
          <c:smooth val="1"/>
        </c:ser>
        <c:axId val="42777924"/>
        <c:axId val="49456997"/>
      </c:lineChart>
      <c:cat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456997"/>
        <c:crosses val="autoZero"/>
        <c:auto val="0"/>
        <c:lblOffset val="100"/>
        <c:noMultiLvlLbl val="0"/>
      </c:catAx>
      <c:valAx>
        <c:axId val="49456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puissance à fournir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777924"/>
        <c:crossesAt val="1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5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'avec rendement en descente'!$C$57</c:f>
              <c:strCache>
                <c:ptCount val="1"/>
                <c:pt idx="0">
                  <c:v>p=4%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'avec rendement en descente'!$D$4:$T$4</c:f>
              <c:numCache>
                <c:ptCount val="17"/>
                <c:pt idx="0">
                  <c:v>10</c:v>
                </c:pt>
                <c:pt idx="1">
                  <c:v>12.5</c:v>
                </c:pt>
                <c:pt idx="2">
                  <c:v>15</c:v>
                </c:pt>
                <c:pt idx="3">
                  <c:v>17.5</c:v>
                </c:pt>
                <c:pt idx="4">
                  <c:v>20</c:v>
                </c:pt>
                <c:pt idx="5">
                  <c:v>22.5</c:v>
                </c:pt>
                <c:pt idx="6">
                  <c:v>25</c:v>
                </c:pt>
                <c:pt idx="7">
                  <c:v>27.5</c:v>
                </c:pt>
                <c:pt idx="8">
                  <c:v>30</c:v>
                </c:pt>
                <c:pt idx="9">
                  <c:v>32.5</c:v>
                </c:pt>
                <c:pt idx="10">
                  <c:v>35</c:v>
                </c:pt>
                <c:pt idx="11">
                  <c:v>37.5</c:v>
                </c:pt>
                <c:pt idx="12">
                  <c:v>40</c:v>
                </c:pt>
                <c:pt idx="13">
                  <c:v>42.5</c:v>
                </c:pt>
                <c:pt idx="14">
                  <c:v>45</c:v>
                </c:pt>
                <c:pt idx="15">
                  <c:v>47.5</c:v>
                </c:pt>
                <c:pt idx="16">
                  <c:v>50</c:v>
                </c:pt>
              </c:numCache>
            </c:numRef>
          </c:cat>
          <c:val>
            <c:numRef>
              <c:f>'avec rendement en descente'!$D$57:$T$57</c:f>
              <c:numCache>
                <c:ptCount val="17"/>
                <c:pt idx="0">
                  <c:v>220.25321729741523</c:v>
                </c:pt>
                <c:pt idx="1">
                  <c:v>267.67411789084764</c:v>
                </c:pt>
                <c:pt idx="2">
                  <c:v>312.37915759573275</c:v>
                </c:pt>
                <c:pt idx="3">
                  <c:v>354.51709007961085</c:v>
                </c:pt>
                <c:pt idx="4">
                  <c:v>394.2260003713759</c:v>
                </c:pt>
                <c:pt idx="5">
                  <c:v>431.63424445998095</c:v>
                </c:pt>
                <c:pt idx="6">
                  <c:v>466.8612913102048</c:v>
                </c:pt>
                <c:pt idx="7">
                  <c:v>500.0184789179685</c:v>
                </c:pt>
                <c:pt idx="8">
                  <c:v>531.2096944721233</c:v>
                </c:pt>
                <c:pt idx="9">
                  <c:v>560.53198736443</c:v>
                </c:pt>
                <c:pt idx="10">
                  <c:v>588.0761226573354</c:v>
                </c:pt>
                <c:pt idx="11">
                  <c:v>613.9270816493361</c:v>
                </c:pt>
                <c:pt idx="12">
                  <c:v>638.1645153447959</c:v>
                </c:pt>
                <c:pt idx="13">
                  <c:v>660.8631559178682</c:v>
                </c:pt>
                <c:pt idx="14">
                  <c:v>682.0931906411215</c:v>
                </c:pt>
                <c:pt idx="15">
                  <c:v>701.9206022138319</c:v>
                </c:pt>
                <c:pt idx="16">
                  <c:v>720.4074789604272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'avec rendement en descente'!$C$58</c:f>
              <c:strCache>
                <c:ptCount val="1"/>
                <c:pt idx="0">
                  <c:v>p=8%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descente'!$D$58:$T$58</c:f>
              <c:numCache>
                <c:ptCount val="17"/>
                <c:pt idx="0">
                  <c:v>481.01231875317825</c:v>
                </c:pt>
                <c:pt idx="1">
                  <c:v>587.4464818981457</c:v>
                </c:pt>
                <c:pt idx="2">
                  <c:v>688.9698530614918</c:v>
                </c:pt>
                <c:pt idx="3">
                  <c:v>785.8514071089301</c:v>
                </c:pt>
                <c:pt idx="4">
                  <c:v>878.3408279824971</c:v>
                </c:pt>
                <c:pt idx="5">
                  <c:v>966.6702076733546</c:v>
                </c:pt>
                <c:pt idx="6">
                  <c:v>1051.055568746121</c:v>
                </c:pt>
                <c:pt idx="7">
                  <c:v>1131.6982314303868</c:v>
                </c:pt>
                <c:pt idx="8">
                  <c:v>1208.7860434823294</c:v>
                </c:pt>
                <c:pt idx="9">
                  <c:v>1282.4944886231106</c:v>
                </c:pt>
                <c:pt idx="10">
                  <c:v>1352.9876873136693</c:v>
                </c:pt>
                <c:pt idx="11">
                  <c:v>1420.4193018719125</c:v>
                </c:pt>
                <c:pt idx="12">
                  <c:v>1484.933356432215</c:v>
                </c:pt>
                <c:pt idx="13">
                  <c:v>1546.6649809502946</c:v>
                </c:pt>
                <c:pt idx="14">
                  <c:v>1605.7410873371366</c:v>
                </c:pt>
                <c:pt idx="15">
                  <c:v>1662.2809848371514</c:v>
                </c:pt>
                <c:pt idx="16">
                  <c:v>1716.3969409258327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'avec rendement en descente'!$C$59</c:f>
              <c:strCache>
                <c:ptCount val="1"/>
                <c:pt idx="0">
                  <c:v>p=12%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descente'!$D$59:$T$59</c:f>
              <c:numCache>
                <c:ptCount val="17"/>
                <c:pt idx="0">
                  <c:v>741.7714202089411</c:v>
                </c:pt>
                <c:pt idx="1">
                  <c:v>907.2188459054437</c:v>
                </c:pt>
                <c:pt idx="2">
                  <c:v>1065.5605485272508</c:v>
                </c:pt>
                <c:pt idx="3">
                  <c:v>1217.185724138249</c:v>
                </c:pt>
                <c:pt idx="4">
                  <c:v>1362.4556555936178</c:v>
                </c:pt>
                <c:pt idx="5">
                  <c:v>1501.7061708867282</c:v>
                </c:pt>
                <c:pt idx="6">
                  <c:v>1635.2498461820371</c:v>
                </c:pt>
                <c:pt idx="7">
                  <c:v>1763.3779839428046</c:v>
                </c:pt>
                <c:pt idx="8">
                  <c:v>1886.3623924925353</c:v>
                </c:pt>
                <c:pt idx="9">
                  <c:v>2004.4569898817904</c:v>
                </c:pt>
                <c:pt idx="10">
                  <c:v>2117.8992519700028</c:v>
                </c:pt>
                <c:pt idx="11">
                  <c:v>2226.9115220944886</c:v>
                </c:pt>
                <c:pt idx="12">
                  <c:v>2331.702197519634</c:v>
                </c:pt>
                <c:pt idx="13">
                  <c:v>2432.4668059827204</c:v>
                </c:pt>
                <c:pt idx="14">
                  <c:v>2529.3889840331517</c:v>
                </c:pt>
                <c:pt idx="15">
                  <c:v>2622.6413674604696</c:v>
                </c:pt>
                <c:pt idx="16">
                  <c:v>2712.386402891237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'avec rendement en descente'!$C$60</c:f>
              <c:strCache>
                <c:ptCount val="1"/>
                <c:pt idx="0">
                  <c:v>p=14%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descente'!$D$60:$T$60</c:f>
              <c:numCache>
                <c:ptCount val="17"/>
                <c:pt idx="0">
                  <c:v>872.1509709368228</c:v>
                </c:pt>
                <c:pt idx="1">
                  <c:v>1067.1050279090928</c:v>
                </c:pt>
                <c:pt idx="2">
                  <c:v>1253.8558962601307</c:v>
                </c:pt>
                <c:pt idx="3">
                  <c:v>1432.852882652909</c:v>
                </c:pt>
                <c:pt idx="4">
                  <c:v>1604.513069399179</c:v>
                </c:pt>
                <c:pt idx="5">
                  <c:v>1769.2241524934154</c:v>
                </c:pt>
                <c:pt idx="6">
                  <c:v>1927.3469848999955</c:v>
                </c:pt>
                <c:pt idx="7">
                  <c:v>2079.217860199014</c:v>
                </c:pt>
                <c:pt idx="8">
                  <c:v>2225.1505669976386</c:v>
                </c:pt>
                <c:pt idx="9">
                  <c:v>2365.4382405111314</c:v>
                </c:pt>
                <c:pt idx="10">
                  <c:v>2500.3550342981703</c:v>
                </c:pt>
                <c:pt idx="11">
                  <c:v>2630.157632205777</c:v>
                </c:pt>
                <c:pt idx="12">
                  <c:v>2755.0866180633448</c:v>
                </c:pt>
                <c:pt idx="13">
                  <c:v>2875.3677184989347</c:v>
                </c:pt>
                <c:pt idx="14">
                  <c:v>2991.2129323811596</c:v>
                </c:pt>
                <c:pt idx="15">
                  <c:v>3102.8215587721306</c:v>
                </c:pt>
                <c:pt idx="16">
                  <c:v>3210.3811338739406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'avec rendement en descente'!$C$61</c:f>
              <c:strCache>
                <c:ptCount val="1"/>
                <c:pt idx="0">
                  <c:v>p=16%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descente'!$D$61:$T$61</c:f>
              <c:numCache>
                <c:ptCount val="17"/>
                <c:pt idx="0">
                  <c:v>1002.530521664704</c:v>
                </c:pt>
                <c:pt idx="1">
                  <c:v>1226.9912099127419</c:v>
                </c:pt>
                <c:pt idx="2">
                  <c:v>1442.15124399301</c:v>
                </c:pt>
                <c:pt idx="3">
                  <c:v>1648.5200411675687</c:v>
                </c:pt>
                <c:pt idx="4">
                  <c:v>1846.570483204739</c:v>
                </c:pt>
                <c:pt idx="5">
                  <c:v>2036.742134100102</c:v>
                </c:pt>
                <c:pt idx="6">
                  <c:v>2219.4441236179537</c:v>
                </c:pt>
                <c:pt idx="7">
                  <c:v>2395.057736455223</c:v>
                </c:pt>
                <c:pt idx="8">
                  <c:v>2563.938741502742</c:v>
                </c:pt>
                <c:pt idx="9">
                  <c:v>2726.4194911404716</c:v>
                </c:pt>
                <c:pt idx="10">
                  <c:v>2882.8108166263373</c:v>
                </c:pt>
                <c:pt idx="11">
                  <c:v>3033.4037423170657</c:v>
                </c:pt>
                <c:pt idx="12">
                  <c:v>3178.4710386070537</c:v>
                </c:pt>
                <c:pt idx="13">
                  <c:v>3318.268631015147</c:v>
                </c:pt>
                <c:pt idx="14">
                  <c:v>3453.0368807291675</c:v>
                </c:pt>
                <c:pt idx="15">
                  <c:v>3583.0017500837903</c:v>
                </c:pt>
                <c:pt idx="16">
                  <c:v>3708.375864856643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'avec rendement en montée'!$B$61</c:f>
              <c:strCache>
                <c:ptCount val="1"/>
                <c:pt idx="0">
                  <c:v>limite en puissance avec E=0 W/m²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montée'!$D$61:$T$61</c:f>
              <c:numCache>
                <c:ptCount val="17"/>
                <c:pt idx="0">
                  <c:v>1920</c:v>
                </c:pt>
                <c:pt idx="1">
                  <c:v>1920</c:v>
                </c:pt>
                <c:pt idx="2">
                  <c:v>1920</c:v>
                </c:pt>
                <c:pt idx="3">
                  <c:v>1920</c:v>
                </c:pt>
                <c:pt idx="4">
                  <c:v>1920</c:v>
                </c:pt>
                <c:pt idx="5">
                  <c:v>1920</c:v>
                </c:pt>
                <c:pt idx="6">
                  <c:v>1920</c:v>
                </c:pt>
                <c:pt idx="7">
                  <c:v>1920</c:v>
                </c:pt>
                <c:pt idx="8">
                  <c:v>1920</c:v>
                </c:pt>
                <c:pt idx="9">
                  <c:v>1920</c:v>
                </c:pt>
                <c:pt idx="10">
                  <c:v>1920</c:v>
                </c:pt>
                <c:pt idx="11">
                  <c:v>1920</c:v>
                </c:pt>
                <c:pt idx="12">
                  <c:v>1920</c:v>
                </c:pt>
                <c:pt idx="13">
                  <c:v>1920</c:v>
                </c:pt>
                <c:pt idx="14">
                  <c:v>1920</c:v>
                </c:pt>
                <c:pt idx="15">
                  <c:v>1920</c:v>
                </c:pt>
                <c:pt idx="16">
                  <c:v>1920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'avec rendement en montée'!$B$62:$C$62</c:f>
              <c:strCache>
                <c:ptCount val="1"/>
                <c:pt idx="0">
                  <c:v>limite en puissance avec E=250 W/m²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montée'!$D$62:$T$62</c:f>
              <c:numCache>
                <c:ptCount val="17"/>
                <c:pt idx="0">
                  <c:v>1770</c:v>
                </c:pt>
                <c:pt idx="1">
                  <c:v>1770</c:v>
                </c:pt>
                <c:pt idx="2">
                  <c:v>1770</c:v>
                </c:pt>
                <c:pt idx="3">
                  <c:v>1770</c:v>
                </c:pt>
                <c:pt idx="4">
                  <c:v>1770</c:v>
                </c:pt>
                <c:pt idx="5">
                  <c:v>1770</c:v>
                </c:pt>
                <c:pt idx="6">
                  <c:v>1770</c:v>
                </c:pt>
                <c:pt idx="7">
                  <c:v>1770</c:v>
                </c:pt>
                <c:pt idx="8">
                  <c:v>1770</c:v>
                </c:pt>
                <c:pt idx="9">
                  <c:v>1770</c:v>
                </c:pt>
                <c:pt idx="10">
                  <c:v>1770</c:v>
                </c:pt>
                <c:pt idx="11">
                  <c:v>1770</c:v>
                </c:pt>
                <c:pt idx="12">
                  <c:v>1770</c:v>
                </c:pt>
                <c:pt idx="13">
                  <c:v>1770</c:v>
                </c:pt>
                <c:pt idx="14">
                  <c:v>1770</c:v>
                </c:pt>
                <c:pt idx="15">
                  <c:v>1770</c:v>
                </c:pt>
                <c:pt idx="16">
                  <c:v>1770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'avec rendement en montée'!$B$63:$C$63</c:f>
              <c:strCache>
                <c:ptCount val="1"/>
                <c:pt idx="0">
                  <c:v>limite en puissance avec E=500 W/m²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montée'!$D$63:$T$63</c:f>
              <c:numCache>
                <c:ptCount val="17"/>
                <c:pt idx="0">
                  <c:v>1620</c:v>
                </c:pt>
                <c:pt idx="1">
                  <c:v>1620</c:v>
                </c:pt>
                <c:pt idx="2">
                  <c:v>1620</c:v>
                </c:pt>
                <c:pt idx="3">
                  <c:v>1620</c:v>
                </c:pt>
                <c:pt idx="4">
                  <c:v>1620</c:v>
                </c:pt>
                <c:pt idx="5">
                  <c:v>1620</c:v>
                </c:pt>
                <c:pt idx="6">
                  <c:v>1620</c:v>
                </c:pt>
                <c:pt idx="7">
                  <c:v>1620</c:v>
                </c:pt>
                <c:pt idx="8">
                  <c:v>1620</c:v>
                </c:pt>
                <c:pt idx="9">
                  <c:v>1620</c:v>
                </c:pt>
                <c:pt idx="10">
                  <c:v>1620</c:v>
                </c:pt>
                <c:pt idx="11">
                  <c:v>1620</c:v>
                </c:pt>
                <c:pt idx="12">
                  <c:v>1620</c:v>
                </c:pt>
                <c:pt idx="13">
                  <c:v>1620</c:v>
                </c:pt>
                <c:pt idx="14">
                  <c:v>1620</c:v>
                </c:pt>
                <c:pt idx="15">
                  <c:v>1620</c:v>
                </c:pt>
                <c:pt idx="16">
                  <c:v>1620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'avec rendement en montée'!$B$64:$C$64</c:f>
              <c:strCache>
                <c:ptCount val="1"/>
                <c:pt idx="0">
                  <c:v>limite en puissance avec E=750 W/m²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montée'!$D$64:$T$64</c:f>
              <c:numCache>
                <c:ptCount val="17"/>
                <c:pt idx="0">
                  <c:v>1470</c:v>
                </c:pt>
                <c:pt idx="1">
                  <c:v>1470</c:v>
                </c:pt>
                <c:pt idx="2">
                  <c:v>1470</c:v>
                </c:pt>
                <c:pt idx="3">
                  <c:v>1470</c:v>
                </c:pt>
                <c:pt idx="4">
                  <c:v>1470</c:v>
                </c:pt>
                <c:pt idx="5">
                  <c:v>1470</c:v>
                </c:pt>
                <c:pt idx="6">
                  <c:v>1470</c:v>
                </c:pt>
                <c:pt idx="7">
                  <c:v>1470</c:v>
                </c:pt>
                <c:pt idx="8">
                  <c:v>1470</c:v>
                </c:pt>
                <c:pt idx="9">
                  <c:v>1470</c:v>
                </c:pt>
                <c:pt idx="10">
                  <c:v>1470</c:v>
                </c:pt>
                <c:pt idx="11">
                  <c:v>1470</c:v>
                </c:pt>
                <c:pt idx="12">
                  <c:v>1470</c:v>
                </c:pt>
                <c:pt idx="13">
                  <c:v>1470</c:v>
                </c:pt>
                <c:pt idx="14">
                  <c:v>1470</c:v>
                </c:pt>
                <c:pt idx="15">
                  <c:v>1470</c:v>
                </c:pt>
                <c:pt idx="16">
                  <c:v>1470</c:v>
                </c:pt>
              </c:numCache>
            </c:numRef>
          </c:val>
          <c:smooth val="1"/>
        </c:ser>
        <c:ser>
          <c:idx val="9"/>
          <c:order val="9"/>
          <c:tx>
            <c:strRef>
              <c:f>'avec rendement en montée'!$B$65:$C$65</c:f>
              <c:strCache>
                <c:ptCount val="1"/>
                <c:pt idx="0">
                  <c:v>limite en puissance avec E=1000 W/m²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'avec rendement en montée'!$D$65:$T$65</c:f>
              <c:numCache>
                <c:ptCount val="17"/>
                <c:pt idx="0">
                  <c:v>1320</c:v>
                </c:pt>
                <c:pt idx="1">
                  <c:v>1320</c:v>
                </c:pt>
                <c:pt idx="2">
                  <c:v>1320</c:v>
                </c:pt>
                <c:pt idx="3">
                  <c:v>1320</c:v>
                </c:pt>
                <c:pt idx="4">
                  <c:v>1320</c:v>
                </c:pt>
                <c:pt idx="5">
                  <c:v>1320</c:v>
                </c:pt>
                <c:pt idx="6">
                  <c:v>1320</c:v>
                </c:pt>
                <c:pt idx="7">
                  <c:v>1320</c:v>
                </c:pt>
                <c:pt idx="8">
                  <c:v>1320</c:v>
                </c:pt>
                <c:pt idx="9">
                  <c:v>1320</c:v>
                </c:pt>
                <c:pt idx="10">
                  <c:v>1320</c:v>
                </c:pt>
                <c:pt idx="11">
                  <c:v>1320</c:v>
                </c:pt>
                <c:pt idx="12">
                  <c:v>1320</c:v>
                </c:pt>
                <c:pt idx="13">
                  <c:v>1320</c:v>
                </c:pt>
                <c:pt idx="14">
                  <c:v>1320</c:v>
                </c:pt>
                <c:pt idx="15">
                  <c:v>1320</c:v>
                </c:pt>
                <c:pt idx="16">
                  <c:v>1320</c:v>
                </c:pt>
              </c:numCache>
            </c:numRef>
          </c:val>
          <c:smooth val="1"/>
        </c:ser>
        <c:axId val="42459790"/>
        <c:axId val="46593791"/>
      </c:lineChart>
      <c:cat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46593791"/>
        <c:crosses val="autoZero"/>
        <c:auto val="0"/>
        <c:lblOffset val="100"/>
        <c:noMultiLvlLbl val="0"/>
      </c:cat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Puissance à récupérer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2459790"/>
        <c:crossesAt val="1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9"/>
          <c:w val="0.956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'rendement moteur'!$B$1:$C$1</c:f>
              <c:strCache>
                <c:ptCount val="1"/>
                <c:pt idx="0">
                  <c:v>Courbe de rendement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'rendement moteur'!$B$7:$B$17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'rendement moteur'!$C$7:$C$17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tr/min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0.11925</cdr:x>
      <cdr:y>0.66975</cdr:y>
    </cdr:from>
    <cdr:to>
      <cdr:x>0.17475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3848100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p=16%</a:t>
          </a:r>
        </a:p>
      </cdr:txBody>
    </cdr:sp>
  </cdr:relSizeAnchor>
  <cdr:relSizeAnchor xmlns:cdr="http://schemas.openxmlformats.org/drawingml/2006/chartDrawing">
    <cdr:from>
      <cdr:x>0.11925</cdr:x>
      <cdr:y>0.7055</cdr:y>
    </cdr:from>
    <cdr:to>
      <cdr:x>0.15675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4057650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p=14%</a:t>
          </a:r>
        </a:p>
      </cdr:txBody>
    </cdr:sp>
  </cdr:relSizeAnchor>
  <cdr:relSizeAnchor xmlns:cdr="http://schemas.openxmlformats.org/drawingml/2006/chartDrawing">
    <cdr:from>
      <cdr:x>0.11925</cdr:x>
      <cdr:y>0.73275</cdr:y>
    </cdr:from>
    <cdr:to>
      <cdr:x>0.15675</cdr:x>
      <cdr:y>0.7575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42100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p=12%</a:t>
          </a:r>
        </a:p>
      </cdr:txBody>
    </cdr:sp>
  </cdr:relSizeAnchor>
  <cdr:relSizeAnchor xmlns:cdr="http://schemas.openxmlformats.org/drawingml/2006/chartDrawing">
    <cdr:from>
      <cdr:x>0.11925</cdr:x>
      <cdr:y>0.78575</cdr:y>
    </cdr:from>
    <cdr:to>
      <cdr:x>0.17475</cdr:x>
      <cdr:y>0.82175</cdr:y>
    </cdr:to>
    <cdr:sp>
      <cdr:nvSpPr>
        <cdr:cNvPr id="4" name="TextBox 4"/>
        <cdr:cNvSpPr txBox="1">
          <a:spLocks noChangeArrowheads="1"/>
        </cdr:cNvSpPr>
      </cdr:nvSpPr>
      <cdr:spPr>
        <a:xfrm>
          <a:off x="1095375" y="45148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p=8%</a:t>
          </a:r>
        </a:p>
      </cdr:txBody>
    </cdr:sp>
  </cdr:relSizeAnchor>
  <cdr:relSizeAnchor xmlns:cdr="http://schemas.openxmlformats.org/drawingml/2006/chartDrawing">
    <cdr:from>
      <cdr:x>0.11925</cdr:x>
      <cdr:y>0.84475</cdr:y>
    </cdr:from>
    <cdr:to>
      <cdr:x>0.17475</cdr:x>
      <cdr:y>0.88075</cdr:y>
    </cdr:to>
    <cdr:sp>
      <cdr:nvSpPr>
        <cdr:cNvPr id="5" name="TextBox 5"/>
        <cdr:cNvSpPr txBox="1">
          <a:spLocks noChangeArrowheads="1"/>
        </cdr:cNvSpPr>
      </cdr:nvSpPr>
      <cdr:spPr>
        <a:xfrm>
          <a:off x="1095375" y="48577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p=4%</a:t>
          </a:r>
        </a:p>
      </cdr:txBody>
    </cdr:sp>
  </cdr:relSizeAnchor>
  <cdr:relSizeAnchor xmlns:cdr="http://schemas.openxmlformats.org/drawingml/2006/chartDrawing">
    <cdr:from>
      <cdr:x>0.11925</cdr:x>
      <cdr:y>0.882</cdr:y>
    </cdr:from>
    <cdr:to>
      <cdr:x>0.17475</cdr:x>
      <cdr:y>0.918</cdr:y>
    </cdr:to>
    <cdr:sp>
      <cdr:nvSpPr>
        <cdr:cNvPr id="6" name="TextBox 6"/>
        <cdr:cNvSpPr txBox="1">
          <a:spLocks noChangeArrowheads="1"/>
        </cdr:cNvSpPr>
      </cdr:nvSpPr>
      <cdr:spPr>
        <a:xfrm>
          <a:off x="1095375" y="50673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p=0%</a:t>
          </a:r>
        </a:p>
      </cdr:txBody>
    </cdr:sp>
  </cdr:relSizeAnchor>
  <cdr:relSizeAnchor xmlns:cdr="http://schemas.openxmlformats.org/drawingml/2006/chartDrawing">
    <cdr:from>
      <cdr:x>0.753</cdr:x>
      <cdr:y>0.65575</cdr:y>
    </cdr:from>
    <cdr:to>
      <cdr:x>0.96125</cdr:x>
      <cdr:y>0.67825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3771900"/>
          <a:ext cx="1924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E=1000 W/m²</a:t>
          </a:r>
        </a:p>
      </cdr:txBody>
    </cdr:sp>
  </cdr:relSizeAnchor>
  <cdr:relSizeAnchor xmlns:cdr="http://schemas.openxmlformats.org/drawingml/2006/chartDrawing">
    <cdr:from>
      <cdr:x>0.753</cdr:x>
      <cdr:y>0.62425</cdr:y>
    </cdr:from>
    <cdr:to>
      <cdr:x>0.96125</cdr:x>
      <cdr:y>0.64675</cdr:y>
    </cdr:to>
    <cdr:sp>
      <cdr:nvSpPr>
        <cdr:cNvPr id="8" name="TextBox 8"/>
        <cdr:cNvSpPr txBox="1">
          <a:spLocks noChangeArrowheads="1"/>
        </cdr:cNvSpPr>
      </cdr:nvSpPr>
      <cdr:spPr>
        <a:xfrm>
          <a:off x="6953250" y="3590925"/>
          <a:ext cx="1924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E=750 W/m²</a:t>
          </a:r>
        </a:p>
      </cdr:txBody>
    </cdr:sp>
  </cdr:relSizeAnchor>
  <cdr:relSizeAnchor xmlns:cdr="http://schemas.openxmlformats.org/drawingml/2006/chartDrawing">
    <cdr:from>
      <cdr:x>0.753</cdr:x>
      <cdr:y>0.6</cdr:y>
    </cdr:from>
    <cdr:to>
      <cdr:x>0.96975</cdr:x>
      <cdr:y>0.62475</cdr:y>
    </cdr:to>
    <cdr:sp>
      <cdr:nvSpPr>
        <cdr:cNvPr id="9" name="TextBox 9"/>
        <cdr:cNvSpPr txBox="1">
          <a:spLocks noChangeArrowheads="1"/>
        </cdr:cNvSpPr>
      </cdr:nvSpPr>
      <cdr:spPr>
        <a:xfrm>
          <a:off x="6953250" y="3448050"/>
          <a:ext cx="2000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E=500 W/m²</a:t>
          </a:r>
        </a:p>
      </cdr:txBody>
    </cdr:sp>
  </cdr:relSizeAnchor>
  <cdr:relSizeAnchor xmlns:cdr="http://schemas.openxmlformats.org/drawingml/2006/chartDrawing">
    <cdr:from>
      <cdr:x>0.753</cdr:x>
      <cdr:y>0.56775</cdr:y>
    </cdr:from>
    <cdr:to>
      <cdr:x>0.96975</cdr:x>
      <cdr:y>0.59925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53250" y="3257550"/>
          <a:ext cx="2000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E=250 W/m²</a:t>
          </a:r>
        </a:p>
      </cdr:txBody>
    </cdr:sp>
  </cdr:relSizeAnchor>
  <cdr:relSizeAnchor xmlns:cdr="http://schemas.openxmlformats.org/drawingml/2006/chartDrawing">
    <cdr:from>
      <cdr:x>0.753</cdr:x>
      <cdr:y>0.54525</cdr:y>
    </cdr:from>
    <cdr:to>
      <cdr:x>0.939</cdr:x>
      <cdr:y>0.56775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53250" y="3133725"/>
          <a:ext cx="1714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E=0 W/m²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0.8245</cdr:y>
    </cdr:from>
    <cdr:to>
      <cdr:x>0.19125</cdr:x>
      <cdr:y>0.8615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47339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p=4%</a:t>
          </a:r>
        </a:p>
      </cdr:txBody>
    </cdr:sp>
  </cdr:relSizeAnchor>
  <cdr:relSizeAnchor xmlns:cdr="http://schemas.openxmlformats.org/drawingml/2006/chartDrawing">
    <cdr:from>
      <cdr:x>0.136</cdr:x>
      <cdr:y>0.69275</cdr:y>
    </cdr:from>
    <cdr:to>
      <cdr:x>0.19125</cdr:x>
      <cdr:y>0.72975</cdr:y>
    </cdr:to>
    <cdr:sp>
      <cdr:nvSpPr>
        <cdr:cNvPr id="2" name="TextBox 5"/>
        <cdr:cNvSpPr txBox="1">
          <a:spLocks noChangeArrowheads="1"/>
        </cdr:cNvSpPr>
      </cdr:nvSpPr>
      <cdr:spPr>
        <a:xfrm>
          <a:off x="1247775" y="39814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p=12%</a:t>
          </a:r>
        </a:p>
      </cdr:txBody>
    </cdr:sp>
  </cdr:relSizeAnchor>
  <cdr:relSizeAnchor xmlns:cdr="http://schemas.openxmlformats.org/drawingml/2006/chartDrawing">
    <cdr:from>
      <cdr:x>0.136</cdr:x>
      <cdr:y>0.75725</cdr:y>
    </cdr:from>
    <cdr:to>
      <cdr:x>0.19125</cdr:x>
      <cdr:y>0.79425</cdr:y>
    </cdr:to>
    <cdr:sp>
      <cdr:nvSpPr>
        <cdr:cNvPr id="3" name="TextBox 6"/>
        <cdr:cNvSpPr txBox="1">
          <a:spLocks noChangeArrowheads="1"/>
        </cdr:cNvSpPr>
      </cdr:nvSpPr>
      <cdr:spPr>
        <a:xfrm>
          <a:off x="1247775" y="43529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p=8%</a:t>
          </a:r>
        </a:p>
      </cdr:txBody>
    </cdr:sp>
  </cdr:relSizeAnchor>
  <cdr:relSizeAnchor xmlns:cdr="http://schemas.openxmlformats.org/drawingml/2006/chartDrawing">
    <cdr:from>
      <cdr:x>0.136</cdr:x>
      <cdr:y>0.652</cdr:y>
    </cdr:from>
    <cdr:to>
      <cdr:x>0.19125</cdr:x>
      <cdr:y>0.689</cdr:y>
    </cdr:to>
    <cdr:sp>
      <cdr:nvSpPr>
        <cdr:cNvPr id="4" name="TextBox 7"/>
        <cdr:cNvSpPr txBox="1">
          <a:spLocks noChangeArrowheads="1"/>
        </cdr:cNvSpPr>
      </cdr:nvSpPr>
      <cdr:spPr>
        <a:xfrm>
          <a:off x="1247775" y="37433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p=14%</a:t>
          </a:r>
        </a:p>
      </cdr:txBody>
    </cdr:sp>
  </cdr:relSizeAnchor>
  <cdr:relSizeAnchor xmlns:cdr="http://schemas.openxmlformats.org/drawingml/2006/chartDrawing">
    <cdr:from>
      <cdr:x>0.136</cdr:x>
      <cdr:y>0.617</cdr:y>
    </cdr:from>
    <cdr:to>
      <cdr:x>0.19125</cdr:x>
      <cdr:y>0.645</cdr:y>
    </cdr:to>
    <cdr:sp>
      <cdr:nvSpPr>
        <cdr:cNvPr id="5" name="TextBox 8"/>
        <cdr:cNvSpPr txBox="1">
          <a:spLocks noChangeArrowheads="1"/>
        </cdr:cNvSpPr>
      </cdr:nvSpPr>
      <cdr:spPr>
        <a:xfrm>
          <a:off x="1247775" y="354330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p=16%</a:t>
          </a:r>
        </a:p>
      </cdr:txBody>
    </cdr:sp>
  </cdr:relSizeAnchor>
  <cdr:relSizeAnchor xmlns:cdr="http://schemas.openxmlformats.org/drawingml/2006/chartDrawing">
    <cdr:from>
      <cdr:x>0.6355</cdr:x>
      <cdr:y>0.4555</cdr:y>
    </cdr:from>
    <cdr:to>
      <cdr:x>0.80275</cdr:x>
      <cdr:y>0.47825</cdr:y>
    </cdr:to>
    <cdr:sp>
      <cdr:nvSpPr>
        <cdr:cNvPr id="6" name="TextBox 9"/>
        <cdr:cNvSpPr txBox="1">
          <a:spLocks noChangeArrowheads="1"/>
        </cdr:cNvSpPr>
      </cdr:nvSpPr>
      <cdr:spPr>
        <a:xfrm>
          <a:off x="5867400" y="2619375"/>
          <a:ext cx="1543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E=0 W/m²</a:t>
          </a:r>
        </a:p>
      </cdr:txBody>
    </cdr:sp>
  </cdr:relSizeAnchor>
  <cdr:relSizeAnchor xmlns:cdr="http://schemas.openxmlformats.org/drawingml/2006/chartDrawing">
    <cdr:from>
      <cdr:x>0.6355</cdr:x>
      <cdr:y>0.487</cdr:y>
    </cdr:from>
    <cdr:to>
      <cdr:x>0.8135</cdr:x>
      <cdr:y>0.50975</cdr:y>
    </cdr:to>
    <cdr:sp>
      <cdr:nvSpPr>
        <cdr:cNvPr id="7" name="TextBox 10"/>
        <cdr:cNvSpPr txBox="1">
          <a:spLocks noChangeArrowheads="1"/>
        </cdr:cNvSpPr>
      </cdr:nvSpPr>
      <cdr:spPr>
        <a:xfrm>
          <a:off x="5867400" y="2800350"/>
          <a:ext cx="1647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E=250 W/m²</a:t>
          </a:r>
        </a:p>
      </cdr:txBody>
    </cdr:sp>
  </cdr:relSizeAnchor>
  <cdr:relSizeAnchor xmlns:cdr="http://schemas.openxmlformats.org/drawingml/2006/chartDrawing">
    <cdr:from>
      <cdr:x>0.63625</cdr:x>
      <cdr:y>0.52</cdr:y>
    </cdr:from>
    <cdr:to>
      <cdr:x>0.81425</cdr:x>
      <cdr:y>0.54275</cdr:y>
    </cdr:to>
    <cdr:sp>
      <cdr:nvSpPr>
        <cdr:cNvPr id="8" name="TextBox 11"/>
        <cdr:cNvSpPr txBox="1">
          <a:spLocks noChangeArrowheads="1"/>
        </cdr:cNvSpPr>
      </cdr:nvSpPr>
      <cdr:spPr>
        <a:xfrm>
          <a:off x="5876925" y="2990850"/>
          <a:ext cx="1647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E=500 W/m²</a:t>
          </a:r>
        </a:p>
      </cdr:txBody>
    </cdr:sp>
  </cdr:relSizeAnchor>
  <cdr:relSizeAnchor xmlns:cdr="http://schemas.openxmlformats.org/drawingml/2006/chartDrawing">
    <cdr:from>
      <cdr:x>0.6355</cdr:x>
      <cdr:y>0.55325</cdr:y>
    </cdr:from>
    <cdr:to>
      <cdr:x>0.8135</cdr:x>
      <cdr:y>0.576</cdr:y>
    </cdr:to>
    <cdr:sp>
      <cdr:nvSpPr>
        <cdr:cNvPr id="9" name="TextBox 12"/>
        <cdr:cNvSpPr txBox="1">
          <a:spLocks noChangeArrowheads="1"/>
        </cdr:cNvSpPr>
      </cdr:nvSpPr>
      <cdr:spPr>
        <a:xfrm>
          <a:off x="5867400" y="3181350"/>
          <a:ext cx="1647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E=750 W/m²</a:t>
          </a:r>
        </a:p>
      </cdr:txBody>
    </cdr:sp>
  </cdr:relSizeAnchor>
  <cdr:relSizeAnchor xmlns:cdr="http://schemas.openxmlformats.org/drawingml/2006/chartDrawing">
    <cdr:from>
      <cdr:x>0.6355</cdr:x>
      <cdr:y>0.5855</cdr:y>
    </cdr:from>
    <cdr:to>
      <cdr:x>0.82225</cdr:x>
      <cdr:y>0.60825</cdr:y>
    </cdr:to>
    <cdr:sp>
      <cdr:nvSpPr>
        <cdr:cNvPr id="10" name="TextBox 13"/>
        <cdr:cNvSpPr txBox="1">
          <a:spLocks noChangeArrowheads="1"/>
        </cdr:cNvSpPr>
      </cdr:nvSpPr>
      <cdr:spPr>
        <a:xfrm>
          <a:off x="5867400" y="3362325"/>
          <a:ext cx="1724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limite en puissance avec E=1000 W/m²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26</xdr:row>
      <xdr:rowOff>104775</xdr:rowOff>
    </xdr:from>
    <xdr:to>
      <xdr:col>10</xdr:col>
      <xdr:colOff>38100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714375" y="4314825"/>
        <a:ext cx="6943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95250</xdr:rowOff>
    </xdr:from>
    <xdr:to>
      <xdr:col>12</xdr:col>
      <xdr:colOff>171450</xdr:colOff>
      <xdr:row>21</xdr:row>
      <xdr:rowOff>66675</xdr:rowOff>
    </xdr:to>
    <xdr:grpSp>
      <xdr:nvGrpSpPr>
        <xdr:cNvPr id="1" name="Groupe 40"/>
        <xdr:cNvGrpSpPr>
          <a:grpSpLocks/>
        </xdr:cNvGrpSpPr>
      </xdr:nvGrpSpPr>
      <xdr:grpSpPr>
        <a:xfrm>
          <a:off x="2428875" y="904875"/>
          <a:ext cx="5895975" cy="2562225"/>
          <a:chOff x="2219325" y="781050"/>
          <a:chExt cx="6734175" cy="2562225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2219325" y="781050"/>
            <a:ext cx="6734175" cy="256222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e 18"/>
          <xdr:cNvGrpSpPr>
            <a:grpSpLocks/>
          </xdr:cNvGrpSpPr>
        </xdr:nvGrpSpPr>
        <xdr:grpSpPr>
          <a:xfrm>
            <a:off x="3571211" y="1590713"/>
            <a:ext cx="3075834" cy="515648"/>
            <a:chOff x="2486025" y="2000250"/>
            <a:chExt cx="3076575" cy="515938"/>
          </a:xfrm>
          <a:solidFill>
            <a:srgbClr val="FFFFFF"/>
          </a:solidFill>
        </xdr:grpSpPr>
        <xdr:sp>
          <xdr:nvSpPr>
            <xdr:cNvPr id="4" name="Connecteur droit 8"/>
            <xdr:cNvSpPr>
              <a:spLocks/>
            </xdr:cNvSpPr>
          </xdr:nvSpPr>
          <xdr:spPr>
            <a:xfrm>
              <a:off x="2486025" y="2514640"/>
              <a:ext cx="666848" cy="1548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necteur droit 9"/>
            <xdr:cNvSpPr>
              <a:spLocks/>
            </xdr:cNvSpPr>
          </xdr:nvSpPr>
          <xdr:spPr>
            <a:xfrm>
              <a:off x="3124414" y="2514640"/>
              <a:ext cx="666848" cy="1548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necteur droit 14"/>
            <xdr:cNvSpPr>
              <a:spLocks/>
            </xdr:cNvSpPr>
          </xdr:nvSpPr>
          <xdr:spPr>
            <a:xfrm>
              <a:off x="4419652" y="2162126"/>
              <a:ext cx="533017" cy="238105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necteur droit 16"/>
            <xdr:cNvSpPr>
              <a:spLocks/>
            </xdr:cNvSpPr>
          </xdr:nvSpPr>
          <xdr:spPr>
            <a:xfrm flipV="1">
              <a:off x="4952669" y="2000250"/>
              <a:ext cx="609931" cy="409526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necteur droit 10"/>
            <xdr:cNvSpPr>
              <a:spLocks/>
            </xdr:cNvSpPr>
          </xdr:nvSpPr>
          <xdr:spPr>
            <a:xfrm flipV="1">
              <a:off x="3791262" y="2152710"/>
              <a:ext cx="619161" cy="361931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Connecteur droit 20"/>
          <xdr:cNvSpPr>
            <a:spLocks/>
          </xdr:cNvSpPr>
        </xdr:nvSpPr>
        <xdr:spPr>
          <a:xfrm rot="5400000">
            <a:off x="3247970" y="2409985"/>
            <a:ext cx="609443" cy="1281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Connecteur droit 22"/>
          <xdr:cNvSpPr>
            <a:spLocks/>
          </xdr:cNvSpPr>
        </xdr:nvSpPr>
        <xdr:spPr>
          <a:xfrm rot="5400000">
            <a:off x="4552717" y="2419593"/>
            <a:ext cx="627962" cy="1281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Connecteur droit 24"/>
          <xdr:cNvSpPr>
            <a:spLocks/>
          </xdr:cNvSpPr>
        </xdr:nvSpPr>
        <xdr:spPr>
          <a:xfrm rot="5400000">
            <a:off x="4982020" y="2238315"/>
            <a:ext cx="989924" cy="1281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Connecteur droit 28"/>
          <xdr:cNvSpPr>
            <a:spLocks/>
          </xdr:cNvSpPr>
        </xdr:nvSpPr>
        <xdr:spPr>
          <a:xfrm rot="5400000">
            <a:off x="5682374" y="2357459"/>
            <a:ext cx="734025" cy="1281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Connecteur droit 30"/>
          <xdr:cNvSpPr>
            <a:spLocks/>
          </xdr:cNvSpPr>
        </xdr:nvSpPr>
        <xdr:spPr>
          <a:xfrm rot="5400000">
            <a:off x="6086425" y="2152481"/>
            <a:ext cx="1143126" cy="1281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Connecteur droit avec flèche 34"/>
          <xdr:cNvSpPr>
            <a:spLocks/>
          </xdr:cNvSpPr>
        </xdr:nvSpPr>
        <xdr:spPr>
          <a:xfrm>
            <a:off x="4896160" y="2705281"/>
            <a:ext cx="562304" cy="128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Connecteur droit avec flèche 36"/>
          <xdr:cNvSpPr>
            <a:spLocks/>
          </xdr:cNvSpPr>
        </xdr:nvSpPr>
        <xdr:spPr>
          <a:xfrm>
            <a:off x="5524121" y="2705281"/>
            <a:ext cx="505063" cy="128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Connecteur droit avec flèche 38"/>
          <xdr:cNvSpPr>
            <a:spLocks/>
          </xdr:cNvSpPr>
        </xdr:nvSpPr>
        <xdr:spPr>
          <a:xfrm>
            <a:off x="6076324" y="2695673"/>
            <a:ext cx="599342" cy="128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Connecteur droit avec flèche 32"/>
          <xdr:cNvSpPr>
            <a:spLocks/>
          </xdr:cNvSpPr>
        </xdr:nvSpPr>
        <xdr:spPr>
          <a:xfrm>
            <a:off x="3581312" y="2705281"/>
            <a:ext cx="1257607" cy="128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14</xdr:row>
      <xdr:rowOff>9525</xdr:rowOff>
    </xdr:from>
    <xdr:to>
      <xdr:col>7</xdr:col>
      <xdr:colOff>552450</xdr:colOff>
      <xdr:row>15</xdr:row>
      <xdr:rowOff>123825</xdr:rowOff>
    </xdr:to>
    <xdr:sp>
      <xdr:nvSpPr>
        <xdr:cNvPr id="18" name="ZoneTexte 47"/>
        <xdr:cNvSpPr txBox="1">
          <a:spLocks noChangeArrowheads="1"/>
        </xdr:cNvSpPr>
      </xdr:nvSpPr>
      <xdr:spPr>
        <a:xfrm>
          <a:off x="4800600" y="227647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8%
</a:t>
          </a:r>
        </a:p>
      </xdr:txBody>
    </xdr:sp>
    <xdr:clientData/>
  </xdr:twoCellAnchor>
  <xdr:twoCellAnchor>
    <xdr:from>
      <xdr:col>5</xdr:col>
      <xdr:colOff>571500</xdr:colOff>
      <xdr:row>17</xdr:row>
      <xdr:rowOff>123825</xdr:rowOff>
    </xdr:from>
    <xdr:to>
      <xdr:col>6</xdr:col>
      <xdr:colOff>609600</xdr:colOff>
      <xdr:row>19</xdr:row>
      <xdr:rowOff>76200</xdr:rowOff>
    </xdr:to>
    <xdr:sp>
      <xdr:nvSpPr>
        <xdr:cNvPr id="19" name="ZoneTexte 41"/>
        <xdr:cNvSpPr txBox="1">
          <a:spLocks noChangeArrowheads="1"/>
        </xdr:cNvSpPr>
      </xdr:nvSpPr>
      <xdr:spPr>
        <a:xfrm>
          <a:off x="4038600" y="28765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Km</a:t>
          </a:r>
        </a:p>
      </xdr:txBody>
    </xdr:sp>
    <xdr:clientData/>
  </xdr:twoCellAnchor>
  <xdr:twoCellAnchor>
    <xdr:from>
      <xdr:col>7</xdr:col>
      <xdr:colOff>38100</xdr:colOff>
      <xdr:row>18</xdr:row>
      <xdr:rowOff>0</xdr:rowOff>
    </xdr:from>
    <xdr:to>
      <xdr:col>7</xdr:col>
      <xdr:colOff>676275</xdr:colOff>
      <xdr:row>19</xdr:row>
      <xdr:rowOff>114300</xdr:rowOff>
    </xdr:to>
    <xdr:sp>
      <xdr:nvSpPr>
        <xdr:cNvPr id="20" name="ZoneTexte 42"/>
        <xdr:cNvSpPr txBox="1">
          <a:spLocks noChangeArrowheads="1"/>
        </xdr:cNvSpPr>
      </xdr:nvSpPr>
      <xdr:spPr>
        <a:xfrm>
          <a:off x="4724400" y="2914650"/>
          <a:ext cx="638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 Km</a:t>
          </a:r>
        </a:p>
      </xdr:txBody>
    </xdr:sp>
    <xdr:clientData/>
  </xdr:twoCellAnchor>
  <xdr:twoCellAnchor>
    <xdr:from>
      <xdr:col>7</xdr:col>
      <xdr:colOff>571500</xdr:colOff>
      <xdr:row>18</xdr:row>
      <xdr:rowOff>0</xdr:rowOff>
    </xdr:from>
    <xdr:to>
      <xdr:col>8</xdr:col>
      <xdr:colOff>161925</xdr:colOff>
      <xdr:row>19</xdr:row>
      <xdr:rowOff>114300</xdr:rowOff>
    </xdr:to>
    <xdr:sp>
      <xdr:nvSpPr>
        <xdr:cNvPr id="21" name="ZoneTexte 43"/>
        <xdr:cNvSpPr txBox="1">
          <a:spLocks noChangeArrowheads="1"/>
        </xdr:cNvSpPr>
      </xdr:nvSpPr>
      <xdr:spPr>
        <a:xfrm>
          <a:off x="5257800" y="2914650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 Km</a:t>
          </a:r>
        </a:p>
      </xdr:txBody>
    </xdr:sp>
    <xdr:clientData/>
  </xdr:twoCellAnchor>
  <xdr:twoCellAnchor>
    <xdr:from>
      <xdr:col>8</xdr:col>
      <xdr:colOff>85725</xdr:colOff>
      <xdr:row>18</xdr:row>
      <xdr:rowOff>0</xdr:rowOff>
    </xdr:from>
    <xdr:to>
      <xdr:col>9</xdr:col>
      <xdr:colOff>400050</xdr:colOff>
      <xdr:row>19</xdr:row>
      <xdr:rowOff>114300</xdr:rowOff>
    </xdr:to>
    <xdr:sp>
      <xdr:nvSpPr>
        <xdr:cNvPr id="22" name="ZoneTexte 44"/>
        <xdr:cNvSpPr txBox="1">
          <a:spLocks noChangeArrowheads="1"/>
        </xdr:cNvSpPr>
      </xdr:nvSpPr>
      <xdr:spPr>
        <a:xfrm>
          <a:off x="5800725" y="291465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Km</a:t>
          </a:r>
        </a:p>
      </xdr:txBody>
    </xdr:sp>
    <xdr:clientData/>
  </xdr:twoCellAnchor>
  <xdr:twoCellAnchor>
    <xdr:from>
      <xdr:col>6</xdr:col>
      <xdr:colOff>85725</xdr:colOff>
      <xdr:row>12</xdr:row>
      <xdr:rowOff>9525</xdr:rowOff>
    </xdr:from>
    <xdr:to>
      <xdr:col>6</xdr:col>
      <xdr:colOff>609600</xdr:colOff>
      <xdr:row>13</xdr:row>
      <xdr:rowOff>123825</xdr:rowOff>
    </xdr:to>
    <xdr:sp>
      <xdr:nvSpPr>
        <xdr:cNvPr id="23" name="ZoneTexte 46"/>
        <xdr:cNvSpPr txBox="1">
          <a:spLocks noChangeArrowheads="1"/>
        </xdr:cNvSpPr>
      </xdr:nvSpPr>
      <xdr:spPr>
        <a:xfrm>
          <a:off x="4162425" y="195262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plat</a:t>
          </a:r>
        </a:p>
      </xdr:txBody>
    </xdr:sp>
    <xdr:clientData/>
  </xdr:twoCellAnchor>
  <xdr:twoCellAnchor>
    <xdr:from>
      <xdr:col>7</xdr:col>
      <xdr:colOff>666750</xdr:colOff>
      <xdr:row>13</xdr:row>
      <xdr:rowOff>133350</xdr:rowOff>
    </xdr:from>
    <xdr:to>
      <xdr:col>8</xdr:col>
      <xdr:colOff>47625</xdr:colOff>
      <xdr:row>15</xdr:row>
      <xdr:rowOff>85725</xdr:rowOff>
    </xdr:to>
    <xdr:sp>
      <xdr:nvSpPr>
        <xdr:cNvPr id="24" name="ZoneTexte 48"/>
        <xdr:cNvSpPr txBox="1">
          <a:spLocks noChangeArrowheads="1"/>
        </xdr:cNvSpPr>
      </xdr:nvSpPr>
      <xdr:spPr>
        <a:xfrm>
          <a:off x="5353050" y="2238375"/>
          <a:ext cx="409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6%</a:t>
          </a:r>
        </a:p>
      </xdr:txBody>
    </xdr:sp>
    <xdr:clientData/>
  </xdr:twoCellAnchor>
  <xdr:twoCellAnchor>
    <xdr:from>
      <xdr:col>8</xdr:col>
      <xdr:colOff>104775</xdr:colOff>
      <xdr:row>12</xdr:row>
      <xdr:rowOff>152400</xdr:rowOff>
    </xdr:from>
    <xdr:to>
      <xdr:col>8</xdr:col>
      <xdr:colOff>600075</xdr:colOff>
      <xdr:row>14</xdr:row>
      <xdr:rowOff>104775</xdr:rowOff>
    </xdr:to>
    <xdr:sp>
      <xdr:nvSpPr>
        <xdr:cNvPr id="25" name="ZoneTexte 49"/>
        <xdr:cNvSpPr txBox="1">
          <a:spLocks noChangeArrowheads="1"/>
        </xdr:cNvSpPr>
      </xdr:nvSpPr>
      <xdr:spPr>
        <a:xfrm>
          <a:off x="5819775" y="2095500"/>
          <a:ext cx="495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12%</a:t>
          </a:r>
        </a:p>
      </xdr:txBody>
    </xdr:sp>
    <xdr:clientData/>
  </xdr:twoCellAnchor>
  <xdr:twoCellAnchor>
    <xdr:from>
      <xdr:col>6</xdr:col>
      <xdr:colOff>133350</xdr:colOff>
      <xdr:row>6</xdr:row>
      <xdr:rowOff>9525</xdr:rowOff>
    </xdr:from>
    <xdr:to>
      <xdr:col>8</xdr:col>
      <xdr:colOff>552450</xdr:colOff>
      <xdr:row>9</xdr:row>
      <xdr:rowOff>123825</xdr:rowOff>
    </xdr:to>
    <xdr:sp>
      <xdr:nvSpPr>
        <xdr:cNvPr id="26" name="ZoneTexte 50"/>
        <xdr:cNvSpPr txBox="1">
          <a:spLocks noChangeArrowheads="1"/>
        </xdr:cNvSpPr>
      </xdr:nvSpPr>
      <xdr:spPr>
        <a:xfrm>
          <a:off x="4210050" y="981075"/>
          <a:ext cx="2057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EXEMPLE D'UNE COURSE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Q49"/>
  <sheetViews>
    <sheetView workbookViewId="0" topLeftCell="A1">
      <selection activeCell="D52" sqref="D52"/>
    </sheetView>
  </sheetViews>
  <sheetFormatPr defaultColWidth="11.421875" defaultRowHeight="12.75"/>
  <cols>
    <col min="1" max="1" width="11.421875" style="1" customWidth="1"/>
    <col min="2" max="2" width="8.28125" style="1" customWidth="1"/>
    <col min="3" max="3" width="27.28125" style="1" customWidth="1"/>
    <col min="4" max="13" width="11.421875" style="1" customWidth="1"/>
    <col min="14" max="14" width="6.00390625" style="1" customWidth="1"/>
    <col min="15" max="15" width="23.7109375" style="2" customWidth="1"/>
    <col min="16" max="16384" width="11.421875" style="1" customWidth="1"/>
  </cols>
  <sheetData>
    <row r="5" spans="3:12" ht="12.75">
      <c r="C5" s="3" t="s">
        <v>44</v>
      </c>
      <c r="D5" s="3">
        <f>D8/$P$35</f>
        <v>8.417508417508417</v>
      </c>
      <c r="E5" s="3">
        <f aca="true" t="shared" si="0" ref="E5:L5">E8/$P$35</f>
        <v>12.626262626262626</v>
      </c>
      <c r="F5" s="3">
        <f t="shared" si="0"/>
        <v>16.835016835016834</v>
      </c>
      <c r="G5" s="3">
        <f t="shared" si="0"/>
        <v>21.043771043771045</v>
      </c>
      <c r="H5" s="3">
        <f t="shared" si="0"/>
        <v>25.252525252525253</v>
      </c>
      <c r="I5" s="3">
        <f t="shared" si="0"/>
        <v>29.461279461279457</v>
      </c>
      <c r="J5" s="3">
        <f t="shared" si="0"/>
        <v>33.67003367003367</v>
      </c>
      <c r="K5" s="3">
        <f t="shared" si="0"/>
        <v>37.878787878787875</v>
      </c>
      <c r="L5" s="3">
        <f t="shared" si="0"/>
        <v>42.08754208754209</v>
      </c>
    </row>
    <row r="6" spans="3:12" ht="12.75">
      <c r="C6" s="3" t="s">
        <v>43</v>
      </c>
      <c r="D6" s="3">
        <f>(60*D5)/(2*PI())</f>
        <v>80.38128438984613</v>
      </c>
      <c r="E6" s="3">
        <f aca="true" t="shared" si="1" ref="E6:L6">(60*E5)/(2*PI())</f>
        <v>120.5719265847692</v>
      </c>
      <c r="F6" s="3">
        <f t="shared" si="1"/>
        <v>160.76256877969226</v>
      </c>
      <c r="G6" s="3">
        <f t="shared" si="1"/>
        <v>200.95321097461536</v>
      </c>
      <c r="H6" s="3">
        <f t="shared" si="1"/>
        <v>241.1438531695384</v>
      </c>
      <c r="I6" s="3">
        <f t="shared" si="1"/>
        <v>281.3344953644614</v>
      </c>
      <c r="J6" s="3">
        <f t="shared" si="1"/>
        <v>321.5251375593845</v>
      </c>
      <c r="K6" s="3">
        <f t="shared" si="1"/>
        <v>361.71577975430756</v>
      </c>
      <c r="L6" s="3">
        <f t="shared" si="1"/>
        <v>401.9064219492307</v>
      </c>
    </row>
    <row r="7" spans="1:13" ht="15" customHeight="1">
      <c r="A7" s="65" t="s">
        <v>18</v>
      </c>
      <c r="B7" s="66"/>
      <c r="C7" s="3" t="s">
        <v>19</v>
      </c>
      <c r="D7" s="3">
        <f>10</f>
        <v>10</v>
      </c>
      <c r="E7" s="3">
        <v>15</v>
      </c>
      <c r="F7" s="3">
        <v>20</v>
      </c>
      <c r="G7" s="3">
        <v>25</v>
      </c>
      <c r="H7" s="3">
        <v>30</v>
      </c>
      <c r="I7" s="6">
        <v>35</v>
      </c>
      <c r="J7" s="3">
        <v>40</v>
      </c>
      <c r="K7" s="3">
        <v>45</v>
      </c>
      <c r="L7" s="3">
        <v>50</v>
      </c>
      <c r="M7" s="9"/>
    </row>
    <row r="8" spans="1:13" ht="16.5" customHeight="1">
      <c r="A8" s="65"/>
      <c r="B8" s="66"/>
      <c r="C8" s="3" t="s">
        <v>20</v>
      </c>
      <c r="D8" s="3">
        <f>D7/3.6</f>
        <v>2.7777777777777777</v>
      </c>
      <c r="E8" s="3">
        <f aca="true" t="shared" si="2" ref="E8:J8">E7/3.6</f>
        <v>4.166666666666667</v>
      </c>
      <c r="F8" s="3">
        <f t="shared" si="2"/>
        <v>5.555555555555555</v>
      </c>
      <c r="G8" s="3">
        <f t="shared" si="2"/>
        <v>6.944444444444445</v>
      </c>
      <c r="H8" s="3">
        <f t="shared" si="2"/>
        <v>8.333333333333334</v>
      </c>
      <c r="I8" s="6">
        <f t="shared" si="2"/>
        <v>9.722222222222221</v>
      </c>
      <c r="J8" s="6">
        <f t="shared" si="2"/>
        <v>11.11111111111111</v>
      </c>
      <c r="K8" s="6">
        <f>K7/3.6</f>
        <v>12.5</v>
      </c>
      <c r="L8" s="3">
        <f>L7/3.6</f>
        <v>13.88888888888889</v>
      </c>
      <c r="M8" s="9"/>
    </row>
    <row r="9" spans="1:15" ht="28.5" customHeight="1">
      <c r="A9" s="72" t="s">
        <v>0</v>
      </c>
      <c r="B9" s="73"/>
      <c r="C9" s="4" t="s">
        <v>13</v>
      </c>
      <c r="D9" s="3">
        <f>$P$32*$P$33*$B13*$D$8</f>
        <v>0</v>
      </c>
      <c r="E9" s="3">
        <f aca="true" t="shared" si="3" ref="E9:L9">$P$32*$P$33*$B13*$D$8</f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3">
        <f t="shared" si="3"/>
        <v>0</v>
      </c>
      <c r="M9" s="9"/>
      <c r="O9" s="7" t="s">
        <v>11</v>
      </c>
    </row>
    <row r="10" spans="1:13" ht="18" customHeight="1">
      <c r="A10" s="74"/>
      <c r="B10" s="75"/>
      <c r="C10" s="3" t="s">
        <v>22</v>
      </c>
      <c r="D10" s="3">
        <f>$P$34*$P$32*$P$33*D$8</f>
        <v>19.075000000000003</v>
      </c>
      <c r="E10" s="3">
        <f aca="true" t="shared" si="4" ref="E10:L10">$P$34*$P$32*$P$33*E8</f>
        <v>28.612500000000004</v>
      </c>
      <c r="F10" s="3">
        <f t="shared" si="4"/>
        <v>38.150000000000006</v>
      </c>
      <c r="G10" s="3">
        <f t="shared" si="4"/>
        <v>47.68750000000001</v>
      </c>
      <c r="H10" s="3">
        <f t="shared" si="4"/>
        <v>57.22500000000001</v>
      </c>
      <c r="I10" s="6">
        <f t="shared" si="4"/>
        <v>66.7625</v>
      </c>
      <c r="J10" s="6">
        <f t="shared" si="4"/>
        <v>76.30000000000001</v>
      </c>
      <c r="K10" s="6">
        <f t="shared" si="4"/>
        <v>85.8375</v>
      </c>
      <c r="L10" s="3">
        <f t="shared" si="4"/>
        <v>95.37500000000001</v>
      </c>
      <c r="M10" s="9"/>
    </row>
    <row r="11" spans="1:13" ht="18" customHeight="1">
      <c r="A11" s="74"/>
      <c r="B11" s="75"/>
      <c r="C11" s="3" t="s">
        <v>12</v>
      </c>
      <c r="D11" s="3">
        <f>0.5*$P$31*$P$25*$P$26*D$8*D$8</f>
        <v>4.629629629629629</v>
      </c>
      <c r="E11" s="3">
        <f aca="true" t="shared" si="5" ref="E11:L11">0.5*$P$31*$P$25*$P$26*E8*E8</f>
        <v>10.416666666666668</v>
      </c>
      <c r="F11" s="3">
        <f t="shared" si="5"/>
        <v>18.518518518518515</v>
      </c>
      <c r="G11" s="3">
        <f t="shared" si="5"/>
        <v>28.935185185185187</v>
      </c>
      <c r="H11" s="3">
        <f t="shared" si="5"/>
        <v>41.66666666666667</v>
      </c>
      <c r="I11" s="6">
        <f t="shared" si="5"/>
        <v>56.712962962962955</v>
      </c>
      <c r="J11" s="6">
        <f t="shared" si="5"/>
        <v>74.07407407407406</v>
      </c>
      <c r="K11" s="6">
        <f t="shared" si="5"/>
        <v>93.75</v>
      </c>
      <c r="L11" s="3">
        <f t="shared" si="5"/>
        <v>115.74074074074075</v>
      </c>
      <c r="M11" s="9"/>
    </row>
    <row r="12" spans="1:15" ht="18" customHeight="1">
      <c r="A12" s="76"/>
      <c r="B12" s="77"/>
      <c r="C12" s="5" t="s">
        <v>21</v>
      </c>
      <c r="D12" s="8">
        <f aca="true" t="shared" si="6" ref="D12:L12">D$11+D$10</f>
        <v>23.704629629629633</v>
      </c>
      <c r="E12" s="8">
        <f t="shared" si="6"/>
        <v>39.02916666666667</v>
      </c>
      <c r="F12" s="8">
        <f t="shared" si="6"/>
        <v>56.668518518518525</v>
      </c>
      <c r="G12" s="8">
        <f t="shared" si="6"/>
        <v>76.62268518518519</v>
      </c>
      <c r="H12" s="8">
        <f t="shared" si="6"/>
        <v>98.89166666666668</v>
      </c>
      <c r="I12" s="14">
        <f t="shared" si="6"/>
        <v>123.47546296296295</v>
      </c>
      <c r="J12" s="14">
        <f t="shared" si="6"/>
        <v>150.3740740740741</v>
      </c>
      <c r="K12" s="14">
        <f t="shared" si="6"/>
        <v>179.5875</v>
      </c>
      <c r="L12" s="8">
        <f t="shared" si="6"/>
        <v>211.11574074074076</v>
      </c>
      <c r="M12" s="12"/>
      <c r="N12" s="7" t="s">
        <v>26</v>
      </c>
      <c r="O12" s="1"/>
    </row>
    <row r="13" spans="1:15" ht="18" customHeight="1">
      <c r="A13" s="3" t="s">
        <v>30</v>
      </c>
      <c r="B13" s="6">
        <v>0</v>
      </c>
      <c r="C13" s="3" t="s">
        <v>27</v>
      </c>
      <c r="D13" s="10">
        <f>$P$37/D$12</f>
        <v>134.99472676848558</v>
      </c>
      <c r="E13" s="10">
        <f aca="true" t="shared" si="7" ref="E13:L13">$P$37/E$12</f>
        <v>81.989964769937</v>
      </c>
      <c r="F13" s="10">
        <f t="shared" si="7"/>
        <v>56.468742851540796</v>
      </c>
      <c r="G13" s="10">
        <f t="shared" si="7"/>
        <v>41.763088728437204</v>
      </c>
      <c r="H13" s="10">
        <f t="shared" si="7"/>
        <v>32.35864161119069</v>
      </c>
      <c r="I13" s="15">
        <f t="shared" si="7"/>
        <v>25.91608019287083</v>
      </c>
      <c r="J13" s="15">
        <f t="shared" si="7"/>
        <v>21.280264032905592</v>
      </c>
      <c r="K13" s="15">
        <f t="shared" si="7"/>
        <v>17.81861209716712</v>
      </c>
      <c r="L13" s="10">
        <f t="shared" si="7"/>
        <v>15.157562334159337</v>
      </c>
      <c r="M13" s="13"/>
      <c r="N13" s="7" t="s">
        <v>29</v>
      </c>
      <c r="O13" s="1"/>
    </row>
    <row r="14" spans="1:15" ht="18" customHeight="1">
      <c r="A14" s="66"/>
      <c r="B14" s="78"/>
      <c r="C14" s="3" t="s">
        <v>28</v>
      </c>
      <c r="D14" s="11">
        <f>D$7*D$13</f>
        <v>1349.947267684856</v>
      </c>
      <c r="E14" s="11">
        <f aca="true" t="shared" si="8" ref="E14:L14">E$7*E$13</f>
        <v>1229.8494715490551</v>
      </c>
      <c r="F14" s="11">
        <f t="shared" si="8"/>
        <v>1129.374857030816</v>
      </c>
      <c r="G14" s="11">
        <f t="shared" si="8"/>
        <v>1044.0772182109301</v>
      </c>
      <c r="H14" s="11">
        <f t="shared" si="8"/>
        <v>970.7592483357207</v>
      </c>
      <c r="I14" s="16">
        <f t="shared" si="8"/>
        <v>907.062806750479</v>
      </c>
      <c r="J14" s="16">
        <f t="shared" si="8"/>
        <v>851.2105613162237</v>
      </c>
      <c r="K14" s="16">
        <f t="shared" si="8"/>
        <v>801.8375443725204</v>
      </c>
      <c r="L14" s="11">
        <f t="shared" si="8"/>
        <v>757.8781167079669</v>
      </c>
      <c r="M14" s="17"/>
      <c r="N14" s="7"/>
      <c r="O14" s="1"/>
    </row>
    <row r="15" spans="1:15" ht="18" customHeight="1">
      <c r="A15" s="66"/>
      <c r="B15" s="67"/>
      <c r="C15" s="67"/>
      <c r="D15" s="67"/>
      <c r="E15" s="67"/>
      <c r="F15" s="67"/>
      <c r="G15" s="67"/>
      <c r="H15" s="67"/>
      <c r="I15" s="67"/>
      <c r="J15" s="3"/>
      <c r="K15" s="3"/>
      <c r="L15" s="3"/>
      <c r="M15" s="9"/>
      <c r="N15" s="9"/>
      <c r="O15" s="1"/>
    </row>
    <row r="16" spans="1:13" ht="22.5" customHeight="1">
      <c r="A16" s="3" t="s">
        <v>30</v>
      </c>
      <c r="B16" s="6">
        <v>0.04</v>
      </c>
      <c r="C16" s="3" t="s">
        <v>14</v>
      </c>
      <c r="D16" s="3">
        <f aca="true" t="shared" si="9" ref="D16:L16">$P$32*$P$33*$B$16*D8</f>
        <v>152.60000000000002</v>
      </c>
      <c r="E16" s="3">
        <f t="shared" si="9"/>
        <v>228.90000000000003</v>
      </c>
      <c r="F16" s="3">
        <f t="shared" si="9"/>
        <v>305.20000000000005</v>
      </c>
      <c r="G16" s="3">
        <f t="shared" si="9"/>
        <v>381.50000000000006</v>
      </c>
      <c r="H16" s="3">
        <f t="shared" si="9"/>
        <v>457.80000000000007</v>
      </c>
      <c r="I16" s="6">
        <f t="shared" si="9"/>
        <v>534.1</v>
      </c>
      <c r="J16" s="6">
        <f t="shared" si="9"/>
        <v>610.4000000000001</v>
      </c>
      <c r="K16" s="6">
        <f t="shared" si="9"/>
        <v>686.7</v>
      </c>
      <c r="L16" s="3">
        <f t="shared" si="9"/>
        <v>763.0000000000001</v>
      </c>
      <c r="M16" s="9"/>
    </row>
    <row r="17" spans="1:13" ht="22.5" customHeight="1">
      <c r="A17" s="3"/>
      <c r="B17" s="6"/>
      <c r="C17" s="3" t="s">
        <v>15</v>
      </c>
      <c r="D17" s="3">
        <f>0.5*$P$31*$P$25*$P$26*D$8*D$8</f>
        <v>4.629629629629629</v>
      </c>
      <c r="E17" s="3">
        <f aca="true" t="shared" si="10" ref="E17:L17">0.5*$P$31*$P$25*$P$26*E$8*E$8</f>
        <v>10.416666666666668</v>
      </c>
      <c r="F17" s="3">
        <f t="shared" si="10"/>
        <v>18.518518518518515</v>
      </c>
      <c r="G17" s="3">
        <f t="shared" si="10"/>
        <v>28.935185185185187</v>
      </c>
      <c r="H17" s="3">
        <f t="shared" si="10"/>
        <v>41.66666666666667</v>
      </c>
      <c r="I17" s="6">
        <f t="shared" si="10"/>
        <v>56.712962962962955</v>
      </c>
      <c r="J17" s="6">
        <f t="shared" si="10"/>
        <v>74.07407407407406</v>
      </c>
      <c r="K17" s="6">
        <f t="shared" si="10"/>
        <v>93.75</v>
      </c>
      <c r="L17" s="3">
        <f t="shared" si="10"/>
        <v>115.74074074074075</v>
      </c>
      <c r="M17" s="9"/>
    </row>
    <row r="18" spans="1:13" ht="22.5" customHeight="1">
      <c r="A18" s="3"/>
      <c r="B18" s="6"/>
      <c r="C18" s="3" t="s">
        <v>16</v>
      </c>
      <c r="D18" s="3">
        <f>$P$34*$P$32*$P$33*D$8</f>
        <v>19.075000000000003</v>
      </c>
      <c r="E18" s="3">
        <f aca="true" t="shared" si="11" ref="E18:L18">$P$34*$P$32*$P$33*E$8</f>
        <v>28.612500000000004</v>
      </c>
      <c r="F18" s="3">
        <f t="shared" si="11"/>
        <v>38.150000000000006</v>
      </c>
      <c r="G18" s="3">
        <f t="shared" si="11"/>
        <v>47.68750000000001</v>
      </c>
      <c r="H18" s="3">
        <f t="shared" si="11"/>
        <v>57.22500000000001</v>
      </c>
      <c r="I18" s="6">
        <f t="shared" si="11"/>
        <v>66.7625</v>
      </c>
      <c r="J18" s="6">
        <f t="shared" si="11"/>
        <v>76.30000000000001</v>
      </c>
      <c r="K18" s="6">
        <f t="shared" si="11"/>
        <v>85.8375</v>
      </c>
      <c r="L18" s="3">
        <f t="shared" si="11"/>
        <v>95.37500000000001</v>
      </c>
      <c r="M18" s="9"/>
    </row>
    <row r="19" spans="1:13" ht="22.5" customHeight="1">
      <c r="A19" s="3"/>
      <c r="B19" s="6"/>
      <c r="C19" s="5" t="s">
        <v>17</v>
      </c>
      <c r="D19" s="8">
        <f>D$16+D$17+D$18</f>
        <v>176.30462962962963</v>
      </c>
      <c r="E19" s="8">
        <f aca="true" t="shared" si="12" ref="E19:L19">E$16+E$17+E$18</f>
        <v>267.9291666666667</v>
      </c>
      <c r="F19" s="8">
        <f t="shared" si="12"/>
        <v>361.8685185185186</v>
      </c>
      <c r="G19" s="8">
        <f t="shared" si="12"/>
        <v>458.1226851851852</v>
      </c>
      <c r="H19" s="8">
        <f t="shared" si="12"/>
        <v>556.6916666666667</v>
      </c>
      <c r="I19" s="14">
        <f t="shared" si="12"/>
        <v>657.575462962963</v>
      </c>
      <c r="J19" s="14">
        <f t="shared" si="12"/>
        <v>760.7740740740742</v>
      </c>
      <c r="K19" s="14">
        <f t="shared" si="12"/>
        <v>866.2875</v>
      </c>
      <c r="L19" s="8">
        <f t="shared" si="12"/>
        <v>974.1157407407409</v>
      </c>
      <c r="M19" s="12"/>
    </row>
    <row r="20" spans="1:13" ht="18" customHeight="1">
      <c r="A20" s="68" t="s">
        <v>29</v>
      </c>
      <c r="B20" s="69"/>
      <c r="C20" s="3" t="s">
        <v>27</v>
      </c>
      <c r="D20" s="10">
        <f>$P$37/D$19</f>
        <v>18.1504025545011</v>
      </c>
      <c r="E20" s="10">
        <f aca="true" t="shared" si="13" ref="E20:L20">$P$37/E$19</f>
        <v>11.943455204267297</v>
      </c>
      <c r="F20" s="10">
        <f t="shared" si="13"/>
        <v>8.842990855078321</v>
      </c>
      <c r="G20" s="10">
        <f t="shared" si="13"/>
        <v>6.985028472681889</v>
      </c>
      <c r="H20" s="10">
        <f t="shared" si="13"/>
        <v>5.748244839303624</v>
      </c>
      <c r="I20" s="15">
        <f t="shared" si="13"/>
        <v>4.866361627274154</v>
      </c>
      <c r="J20" s="15">
        <f t="shared" si="13"/>
        <v>4.206242180235529</v>
      </c>
      <c r="K20" s="15">
        <f t="shared" si="13"/>
        <v>3.693923783963176</v>
      </c>
      <c r="L20" s="10">
        <f t="shared" si="13"/>
        <v>3.2850305832925395</v>
      </c>
      <c r="M20" s="13"/>
    </row>
    <row r="21" spans="1:13" ht="18" customHeight="1">
      <c r="A21" s="70"/>
      <c r="B21" s="71"/>
      <c r="C21" s="3" t="s">
        <v>28</v>
      </c>
      <c r="D21" s="3">
        <f>D$7*D$20</f>
        <v>181.504025545011</v>
      </c>
      <c r="E21" s="3">
        <f aca="true" t="shared" si="14" ref="E21:L21">E$7*E$20</f>
        <v>179.15182806400944</v>
      </c>
      <c r="F21" s="3">
        <f t="shared" si="14"/>
        <v>176.85981710156642</v>
      </c>
      <c r="G21" s="3">
        <f t="shared" si="14"/>
        <v>174.62571181704723</v>
      </c>
      <c r="H21" s="3">
        <f t="shared" si="14"/>
        <v>172.4473451791087</v>
      </c>
      <c r="I21" s="6">
        <f t="shared" si="14"/>
        <v>170.32265695459537</v>
      </c>
      <c r="J21" s="6">
        <f t="shared" si="14"/>
        <v>168.24968720942115</v>
      </c>
      <c r="K21" s="6">
        <f t="shared" si="14"/>
        <v>166.22657027834293</v>
      </c>
      <c r="L21" s="3">
        <f t="shared" si="14"/>
        <v>164.251529164627</v>
      </c>
      <c r="M21" s="9"/>
    </row>
    <row r="22" spans="1:13" ht="18" customHeight="1">
      <c r="A22" s="66"/>
      <c r="B22" s="67"/>
      <c r="C22" s="67"/>
      <c r="D22" s="67"/>
      <c r="E22" s="67"/>
      <c r="F22" s="67"/>
      <c r="G22" s="67"/>
      <c r="H22" s="67"/>
      <c r="I22" s="67"/>
      <c r="J22" s="3"/>
      <c r="K22" s="3"/>
      <c r="L22" s="3"/>
      <c r="M22" s="9"/>
    </row>
    <row r="23" spans="1:16" ht="22.5" customHeight="1">
      <c r="A23" s="3" t="s">
        <v>30</v>
      </c>
      <c r="B23" s="6">
        <v>0.08</v>
      </c>
      <c r="C23" s="3" t="s">
        <v>14</v>
      </c>
      <c r="D23" s="3">
        <f>$P$32*$P$33*$B$23*D$8</f>
        <v>305.20000000000005</v>
      </c>
      <c r="E23" s="3">
        <f aca="true" t="shared" si="15" ref="E23:L23">$P$32*$P$33*$B$23*E$8</f>
        <v>457.80000000000007</v>
      </c>
      <c r="F23" s="3">
        <f t="shared" si="15"/>
        <v>610.4000000000001</v>
      </c>
      <c r="G23" s="3">
        <f t="shared" si="15"/>
        <v>763.0000000000001</v>
      </c>
      <c r="H23" s="3">
        <f t="shared" si="15"/>
        <v>915.6000000000001</v>
      </c>
      <c r="I23" s="6">
        <f t="shared" si="15"/>
        <v>1068.2</v>
      </c>
      <c r="J23" s="6">
        <f t="shared" si="15"/>
        <v>1220.8000000000002</v>
      </c>
      <c r="K23" s="6">
        <f t="shared" si="15"/>
        <v>1373.4</v>
      </c>
      <c r="L23" s="3">
        <f t="shared" si="15"/>
        <v>1526.0000000000002</v>
      </c>
      <c r="M23" s="9"/>
      <c r="P23" s="1" t="s">
        <v>1</v>
      </c>
    </row>
    <row r="24" spans="1:13" ht="22.5" customHeight="1">
      <c r="A24" s="3"/>
      <c r="B24" s="6"/>
      <c r="C24" s="3" t="s">
        <v>15</v>
      </c>
      <c r="D24" s="3">
        <f>0.5*$P$31*$P$25*$P$26*D$8*D$8</f>
        <v>4.629629629629629</v>
      </c>
      <c r="E24" s="3">
        <f aca="true" t="shared" si="16" ref="E24:L24">0.5*$P$31*$P$25*$P$26*E$8*E$8</f>
        <v>10.416666666666668</v>
      </c>
      <c r="F24" s="3">
        <f t="shared" si="16"/>
        <v>18.518518518518515</v>
      </c>
      <c r="G24" s="3">
        <f t="shared" si="16"/>
        <v>28.935185185185187</v>
      </c>
      <c r="H24" s="3">
        <f t="shared" si="16"/>
        <v>41.66666666666667</v>
      </c>
      <c r="I24" s="6">
        <f t="shared" si="16"/>
        <v>56.712962962962955</v>
      </c>
      <c r="J24" s="6">
        <f t="shared" si="16"/>
        <v>74.07407407407406</v>
      </c>
      <c r="K24" s="6">
        <f t="shared" si="16"/>
        <v>93.75</v>
      </c>
      <c r="L24" s="3">
        <f t="shared" si="16"/>
        <v>115.74074074074075</v>
      </c>
      <c r="M24" s="9"/>
    </row>
    <row r="25" spans="1:16" ht="22.5" customHeight="1">
      <c r="A25" s="3"/>
      <c r="B25" s="6"/>
      <c r="C25" s="3" t="s">
        <v>16</v>
      </c>
      <c r="D25" s="3">
        <f>$P$34*$P$32*$P$33*D$8</f>
        <v>19.075000000000003</v>
      </c>
      <c r="E25" s="3">
        <f aca="true" t="shared" si="17" ref="E25:L25">$P$34*$P$32*$P$33*E$8</f>
        <v>28.612500000000004</v>
      </c>
      <c r="F25" s="3">
        <f t="shared" si="17"/>
        <v>38.150000000000006</v>
      </c>
      <c r="G25" s="3">
        <f t="shared" si="17"/>
        <v>47.68750000000001</v>
      </c>
      <c r="H25" s="3">
        <f t="shared" si="17"/>
        <v>57.22500000000001</v>
      </c>
      <c r="I25" s="6">
        <f t="shared" si="17"/>
        <v>66.7625</v>
      </c>
      <c r="J25" s="6">
        <f t="shared" si="17"/>
        <v>76.30000000000001</v>
      </c>
      <c r="K25" s="6">
        <f t="shared" si="17"/>
        <v>85.8375</v>
      </c>
      <c r="L25" s="3">
        <f t="shared" si="17"/>
        <v>95.37500000000001</v>
      </c>
      <c r="M25" s="9"/>
      <c r="O25" s="2" t="s">
        <v>2</v>
      </c>
      <c r="P25" s="1">
        <v>1.2</v>
      </c>
    </row>
    <row r="26" spans="1:16" ht="22.5" customHeight="1">
      <c r="A26" s="3"/>
      <c r="B26" s="6"/>
      <c r="C26" s="5" t="s">
        <v>17</v>
      </c>
      <c r="D26" s="8">
        <f aca="true" t="shared" si="18" ref="D26:L26">D23+D24+D25</f>
        <v>328.90462962962965</v>
      </c>
      <c r="E26" s="8">
        <f t="shared" si="18"/>
        <v>496.82916666666677</v>
      </c>
      <c r="F26" s="8">
        <f t="shared" si="18"/>
        <v>667.0685185185185</v>
      </c>
      <c r="G26" s="8">
        <f t="shared" si="18"/>
        <v>839.6226851851853</v>
      </c>
      <c r="H26" s="8">
        <f t="shared" si="18"/>
        <v>1014.4916666666668</v>
      </c>
      <c r="I26" s="14">
        <f t="shared" si="18"/>
        <v>1191.6754629629631</v>
      </c>
      <c r="J26" s="14">
        <f t="shared" si="18"/>
        <v>1371.1740740740743</v>
      </c>
      <c r="K26" s="14">
        <f t="shared" si="18"/>
        <v>1552.9875000000002</v>
      </c>
      <c r="L26" s="8">
        <f t="shared" si="18"/>
        <v>1737.1157407407409</v>
      </c>
      <c r="M26" s="12"/>
      <c r="O26" s="2" t="s">
        <v>3</v>
      </c>
      <c r="P26" s="1">
        <v>0.5</v>
      </c>
    </row>
    <row r="27" spans="1:13" ht="18" customHeight="1">
      <c r="A27" s="68" t="s">
        <v>29</v>
      </c>
      <c r="B27" s="69"/>
      <c r="C27" s="3" t="s">
        <v>27</v>
      </c>
      <c r="D27" s="10">
        <f>$P$37/D$26</f>
        <v>9.729264083644646</v>
      </c>
      <c r="E27" s="10">
        <f aca="true" t="shared" si="19" ref="E27:L27">$P$37/E$26</f>
        <v>6.440845696458372</v>
      </c>
      <c r="F27" s="10">
        <f t="shared" si="19"/>
        <v>4.79710840965307</v>
      </c>
      <c r="G27" s="10">
        <f t="shared" si="19"/>
        <v>3.8112357568021342</v>
      </c>
      <c r="H27" s="10">
        <f t="shared" si="19"/>
        <v>3.1542890938811716</v>
      </c>
      <c r="I27" s="15">
        <f t="shared" si="19"/>
        <v>2.6852948637908263</v>
      </c>
      <c r="J27" s="15">
        <f t="shared" si="19"/>
        <v>2.333766412671487</v>
      </c>
      <c r="K27" s="15">
        <f t="shared" si="19"/>
        <v>2.060544595497388</v>
      </c>
      <c r="L27" s="10">
        <f t="shared" si="19"/>
        <v>1.8421340184479913</v>
      </c>
      <c r="M27" s="13"/>
    </row>
    <row r="28" spans="1:13" ht="18" customHeight="1">
      <c r="A28" s="70"/>
      <c r="B28" s="71"/>
      <c r="C28" s="3" t="s">
        <v>28</v>
      </c>
      <c r="D28" s="3">
        <f>D$7*D$27</f>
        <v>97.29264083644645</v>
      </c>
      <c r="E28" s="3">
        <f aca="true" t="shared" si="20" ref="E28:L28">E$7*E$27</f>
        <v>96.61268544687559</v>
      </c>
      <c r="F28" s="3">
        <f t="shared" si="20"/>
        <v>95.9421681930614</v>
      </c>
      <c r="G28" s="3">
        <f t="shared" si="20"/>
        <v>95.28089392005336</v>
      </c>
      <c r="H28" s="3">
        <f t="shared" si="20"/>
        <v>94.62867281643514</v>
      </c>
      <c r="I28" s="6">
        <f t="shared" si="20"/>
        <v>93.98532023267892</v>
      </c>
      <c r="J28" s="6">
        <f t="shared" si="20"/>
        <v>93.35065650685948</v>
      </c>
      <c r="K28" s="6">
        <f t="shared" si="20"/>
        <v>92.72450679738246</v>
      </c>
      <c r="L28" s="3">
        <f t="shared" si="20"/>
        <v>92.10670092239957</v>
      </c>
      <c r="M28" s="9"/>
    </row>
    <row r="29" spans="1:16" ht="22.5" customHeight="1">
      <c r="A29" s="67"/>
      <c r="B29" s="67"/>
      <c r="C29" s="67"/>
      <c r="D29" s="67"/>
      <c r="E29" s="67"/>
      <c r="F29" s="67"/>
      <c r="G29" s="67"/>
      <c r="H29" s="67"/>
      <c r="I29" s="67"/>
      <c r="J29" s="3"/>
      <c r="K29" s="3"/>
      <c r="L29" s="3"/>
      <c r="M29" s="9"/>
      <c r="O29" s="2" t="s">
        <v>4</v>
      </c>
      <c r="P29" s="1">
        <v>3200</v>
      </c>
    </row>
    <row r="30" spans="1:16" ht="22.5" customHeight="1">
      <c r="A30" s="3" t="s">
        <v>30</v>
      </c>
      <c r="B30" s="6">
        <v>0.12</v>
      </c>
      <c r="C30" s="3" t="s">
        <v>14</v>
      </c>
      <c r="D30" s="3">
        <f>$P$32*$P$33*$B$30*D$8</f>
        <v>457.79999999999995</v>
      </c>
      <c r="E30" s="3">
        <f aca="true" t="shared" si="21" ref="E30:L30">$P$32*$P$33*$B$30*E$8</f>
        <v>686.7</v>
      </c>
      <c r="F30" s="3">
        <f t="shared" si="21"/>
        <v>915.5999999999999</v>
      </c>
      <c r="G30" s="3">
        <f t="shared" si="21"/>
        <v>1144.5</v>
      </c>
      <c r="H30" s="3">
        <f t="shared" si="21"/>
        <v>1373.4</v>
      </c>
      <c r="I30" s="6">
        <f t="shared" si="21"/>
        <v>1602.2999999999997</v>
      </c>
      <c r="J30" s="6">
        <f t="shared" si="21"/>
        <v>1831.1999999999998</v>
      </c>
      <c r="K30" s="6">
        <f t="shared" si="21"/>
        <v>2060.1</v>
      </c>
      <c r="L30" s="3">
        <f t="shared" si="21"/>
        <v>2289</v>
      </c>
      <c r="M30" s="9"/>
      <c r="O30" s="2" t="s">
        <v>5</v>
      </c>
      <c r="P30" s="1">
        <v>400</v>
      </c>
    </row>
    <row r="31" spans="1:16" ht="22.5" customHeight="1">
      <c r="A31" s="3"/>
      <c r="B31" s="6"/>
      <c r="C31" s="3" t="s">
        <v>15</v>
      </c>
      <c r="D31" s="3">
        <f>0.5*$P$31*$P$25*$P$26*D$8*D$8</f>
        <v>4.629629629629629</v>
      </c>
      <c r="E31" s="3">
        <f aca="true" t="shared" si="22" ref="E31:L31">0.5*$P$31*$P$25*$P$26*E$8*E$8</f>
        <v>10.416666666666668</v>
      </c>
      <c r="F31" s="3">
        <f t="shared" si="22"/>
        <v>18.518518518518515</v>
      </c>
      <c r="G31" s="3">
        <f t="shared" si="22"/>
        <v>28.935185185185187</v>
      </c>
      <c r="H31" s="3">
        <f t="shared" si="22"/>
        <v>41.66666666666667</v>
      </c>
      <c r="I31" s="6">
        <f t="shared" si="22"/>
        <v>56.712962962962955</v>
      </c>
      <c r="J31" s="6">
        <f t="shared" si="22"/>
        <v>74.07407407407406</v>
      </c>
      <c r="K31" s="6">
        <f t="shared" si="22"/>
        <v>93.75</v>
      </c>
      <c r="L31" s="3">
        <f t="shared" si="22"/>
        <v>115.74074074074075</v>
      </c>
      <c r="M31" s="9"/>
      <c r="O31" s="2" t="s">
        <v>6</v>
      </c>
      <c r="P31" s="1">
        <v>2</v>
      </c>
    </row>
    <row r="32" spans="1:16" ht="22.5" customHeight="1">
      <c r="A32" s="3"/>
      <c r="B32" s="6"/>
      <c r="C32" s="3" t="s">
        <v>16</v>
      </c>
      <c r="D32" s="3">
        <f>$P$34*$P$32*$P$33*D$8</f>
        <v>19.075000000000003</v>
      </c>
      <c r="E32" s="3">
        <f aca="true" t="shared" si="23" ref="E32:L32">$P$34*$P$32*$P$33*E$8</f>
        <v>28.612500000000004</v>
      </c>
      <c r="F32" s="3">
        <f t="shared" si="23"/>
        <v>38.150000000000006</v>
      </c>
      <c r="G32" s="3">
        <f t="shared" si="23"/>
        <v>47.68750000000001</v>
      </c>
      <c r="H32" s="3">
        <f t="shared" si="23"/>
        <v>57.22500000000001</v>
      </c>
      <c r="I32" s="6">
        <f t="shared" si="23"/>
        <v>66.7625</v>
      </c>
      <c r="J32" s="6">
        <f t="shared" si="23"/>
        <v>76.30000000000001</v>
      </c>
      <c r="K32" s="6">
        <f t="shared" si="23"/>
        <v>85.8375</v>
      </c>
      <c r="L32" s="3">
        <f t="shared" si="23"/>
        <v>95.37500000000001</v>
      </c>
      <c r="M32" s="9"/>
      <c r="O32" s="2" t="s">
        <v>7</v>
      </c>
      <c r="P32" s="1">
        <v>140</v>
      </c>
    </row>
    <row r="33" spans="1:16" ht="18" customHeight="1">
      <c r="A33" s="3"/>
      <c r="B33" s="6"/>
      <c r="C33" s="5" t="s">
        <v>17</v>
      </c>
      <c r="D33" s="8">
        <f aca="true" t="shared" si="24" ref="D33:L33">D30+D31+D32</f>
        <v>481.50462962962956</v>
      </c>
      <c r="E33" s="8">
        <f t="shared" si="24"/>
        <v>725.7291666666666</v>
      </c>
      <c r="F33" s="8">
        <f t="shared" si="24"/>
        <v>972.2685185185184</v>
      </c>
      <c r="G33" s="8">
        <f t="shared" si="24"/>
        <v>1221.1226851851852</v>
      </c>
      <c r="H33" s="8">
        <f t="shared" si="24"/>
        <v>1472.2916666666667</v>
      </c>
      <c r="I33" s="14">
        <f t="shared" si="24"/>
        <v>1725.7754629629628</v>
      </c>
      <c r="J33" s="14">
        <f t="shared" si="24"/>
        <v>1981.574074074074</v>
      </c>
      <c r="K33" s="14">
        <f t="shared" si="24"/>
        <v>2239.6875</v>
      </c>
      <c r="L33" s="8">
        <f t="shared" si="24"/>
        <v>2500.115740740741</v>
      </c>
      <c r="M33" s="12"/>
      <c r="O33" s="2" t="s">
        <v>8</v>
      </c>
      <c r="P33" s="1">
        <v>9.81</v>
      </c>
    </row>
    <row r="34" spans="1:16" ht="18" customHeight="1">
      <c r="A34" s="68" t="s">
        <v>29</v>
      </c>
      <c r="B34" s="69"/>
      <c r="C34" s="3" t="s">
        <v>27</v>
      </c>
      <c r="D34" s="10">
        <f aca="true" t="shared" si="25" ref="D34:L34">$P$37/D$33</f>
        <v>6.645834334887747</v>
      </c>
      <c r="E34" s="10">
        <f t="shared" si="25"/>
        <v>4.40935840390412</v>
      </c>
      <c r="F34" s="10">
        <f t="shared" si="25"/>
        <v>3.2912718441978956</v>
      </c>
      <c r="G34" s="10">
        <f t="shared" si="25"/>
        <v>2.620539310933131</v>
      </c>
      <c r="H34" s="10">
        <f t="shared" si="25"/>
        <v>2.1734823829064664</v>
      </c>
      <c r="I34" s="15">
        <f t="shared" si="25"/>
        <v>1.8542389022648167</v>
      </c>
      <c r="J34" s="15">
        <f t="shared" si="25"/>
        <v>1.6148778094481568</v>
      </c>
      <c r="K34" s="15">
        <f t="shared" si="25"/>
        <v>1.4287707548486117</v>
      </c>
      <c r="L34" s="10">
        <f t="shared" si="25"/>
        <v>1.279940743484098</v>
      </c>
      <c r="M34" s="13"/>
      <c r="O34" s="2" t="s">
        <v>9</v>
      </c>
      <c r="P34" s="1">
        <v>0.005</v>
      </c>
    </row>
    <row r="35" spans="1:16" ht="18" customHeight="1">
      <c r="A35" s="70"/>
      <c r="B35" s="71"/>
      <c r="C35" s="3" t="s">
        <v>28</v>
      </c>
      <c r="D35" s="3">
        <f aca="true" t="shared" si="26" ref="D35:L35">D$7*D$34</f>
        <v>66.45834334887746</v>
      </c>
      <c r="E35" s="3">
        <f t="shared" si="26"/>
        <v>66.1403760585618</v>
      </c>
      <c r="F35" s="3">
        <f t="shared" si="26"/>
        <v>65.8254368839579</v>
      </c>
      <c r="G35" s="3">
        <f t="shared" si="26"/>
        <v>65.51348277332828</v>
      </c>
      <c r="H35" s="3">
        <f t="shared" si="26"/>
        <v>65.204471487194</v>
      </c>
      <c r="I35" s="6">
        <f t="shared" si="26"/>
        <v>64.89836157926858</v>
      </c>
      <c r="J35" s="6">
        <f t="shared" si="26"/>
        <v>64.59511237792627</v>
      </c>
      <c r="K35" s="6">
        <f t="shared" si="26"/>
        <v>64.29468396818753</v>
      </c>
      <c r="L35" s="3">
        <f t="shared" si="26"/>
        <v>63.9970371742049</v>
      </c>
      <c r="M35" s="9"/>
      <c r="O35" s="2" t="s">
        <v>10</v>
      </c>
      <c r="P35" s="1">
        <v>0.33</v>
      </c>
    </row>
    <row r="36" spans="1:13" ht="18" customHeight="1">
      <c r="A36" s="67"/>
      <c r="B36" s="67"/>
      <c r="C36" s="67"/>
      <c r="D36" s="67"/>
      <c r="E36" s="67"/>
      <c r="F36" s="67"/>
      <c r="G36" s="67"/>
      <c r="H36" s="67"/>
      <c r="I36" s="67"/>
      <c r="J36" s="3"/>
      <c r="K36" s="3"/>
      <c r="L36" s="3"/>
      <c r="M36" s="9"/>
    </row>
    <row r="37" spans="1:16" ht="18" customHeight="1">
      <c r="A37" s="3" t="s">
        <v>30</v>
      </c>
      <c r="B37" s="6">
        <v>0.14</v>
      </c>
      <c r="C37" s="3" t="s">
        <v>14</v>
      </c>
      <c r="D37" s="3">
        <f>$P$32*$P$33*$B$37*D$8</f>
        <v>534.1000000000001</v>
      </c>
      <c r="E37" s="3">
        <f aca="true" t="shared" si="27" ref="E37:L37">$P$32*$P$33*$B$37*E$8</f>
        <v>801.1500000000002</v>
      </c>
      <c r="F37" s="3">
        <f t="shared" si="27"/>
        <v>1068.2000000000003</v>
      </c>
      <c r="G37" s="3">
        <f t="shared" si="27"/>
        <v>1335.2500000000002</v>
      </c>
      <c r="H37" s="3">
        <f t="shared" si="27"/>
        <v>1602.3000000000004</v>
      </c>
      <c r="I37" s="6">
        <f t="shared" si="27"/>
        <v>1869.3500000000001</v>
      </c>
      <c r="J37" s="6">
        <f t="shared" si="27"/>
        <v>2136.4000000000005</v>
      </c>
      <c r="K37" s="6">
        <f t="shared" si="27"/>
        <v>2403.4500000000003</v>
      </c>
      <c r="L37" s="3">
        <f t="shared" si="27"/>
        <v>2670.5000000000005</v>
      </c>
      <c r="M37" s="9"/>
      <c r="O37" s="2" t="s">
        <v>23</v>
      </c>
      <c r="P37" s="1">
        <f>P29</f>
        <v>3200</v>
      </c>
    </row>
    <row r="38" spans="1:16" ht="18" customHeight="1">
      <c r="A38" s="3"/>
      <c r="B38" s="6"/>
      <c r="C38" s="3" t="s">
        <v>15</v>
      </c>
      <c r="D38" s="3">
        <f>0.5*$P$31*$P$25*$P$26*D$8*D$8</f>
        <v>4.629629629629629</v>
      </c>
      <c r="E38" s="3">
        <f aca="true" t="shared" si="28" ref="E38:L38">0.5*$P$31*$P$25*$P$26*E$8*E$8</f>
        <v>10.416666666666668</v>
      </c>
      <c r="F38" s="3">
        <f t="shared" si="28"/>
        <v>18.518518518518515</v>
      </c>
      <c r="G38" s="3">
        <f t="shared" si="28"/>
        <v>28.935185185185187</v>
      </c>
      <c r="H38" s="3">
        <f t="shared" si="28"/>
        <v>41.66666666666667</v>
      </c>
      <c r="I38" s="6">
        <f t="shared" si="28"/>
        <v>56.712962962962955</v>
      </c>
      <c r="J38" s="6">
        <f t="shared" si="28"/>
        <v>74.07407407407406</v>
      </c>
      <c r="K38" s="6">
        <f t="shared" si="28"/>
        <v>93.75</v>
      </c>
      <c r="L38" s="3">
        <f t="shared" si="28"/>
        <v>115.74074074074075</v>
      </c>
      <c r="M38" s="9"/>
      <c r="O38" s="2" t="s">
        <v>24</v>
      </c>
      <c r="P38" s="1">
        <f>P37/60</f>
        <v>53.333333333333336</v>
      </c>
    </row>
    <row r="39" spans="1:16" ht="18" customHeight="1">
      <c r="A39" s="3"/>
      <c r="B39" s="6"/>
      <c r="C39" s="3" t="s">
        <v>16</v>
      </c>
      <c r="D39" s="3">
        <f>$P$34*$P$32*$P$33*D$8</f>
        <v>19.075000000000003</v>
      </c>
      <c r="E39" s="3">
        <f aca="true" t="shared" si="29" ref="E39:L39">$P$34*$P$32*$P$33*E$8</f>
        <v>28.612500000000004</v>
      </c>
      <c r="F39" s="3">
        <f t="shared" si="29"/>
        <v>38.150000000000006</v>
      </c>
      <c r="G39" s="3">
        <f t="shared" si="29"/>
        <v>47.68750000000001</v>
      </c>
      <c r="H39" s="3">
        <f t="shared" si="29"/>
        <v>57.22500000000001</v>
      </c>
      <c r="I39" s="6">
        <f t="shared" si="29"/>
        <v>66.7625</v>
      </c>
      <c r="J39" s="6">
        <f t="shared" si="29"/>
        <v>76.30000000000001</v>
      </c>
      <c r="K39" s="6">
        <f t="shared" si="29"/>
        <v>85.8375</v>
      </c>
      <c r="L39" s="3">
        <f t="shared" si="29"/>
        <v>95.37500000000001</v>
      </c>
      <c r="M39" s="9"/>
      <c r="O39" s="2" t="s">
        <v>25</v>
      </c>
      <c r="P39" s="1">
        <f>P38/60</f>
        <v>0.888888888888889</v>
      </c>
    </row>
    <row r="40" spans="1:13" ht="18" customHeight="1">
      <c r="A40" s="3"/>
      <c r="B40" s="6"/>
      <c r="C40" s="5" t="s">
        <v>17</v>
      </c>
      <c r="D40" s="8">
        <f aca="true" t="shared" si="30" ref="D40:L40">D37+D38+D39</f>
        <v>557.8046296296299</v>
      </c>
      <c r="E40" s="8">
        <f t="shared" si="30"/>
        <v>840.1791666666668</v>
      </c>
      <c r="F40" s="8">
        <f t="shared" si="30"/>
        <v>1124.8685185185188</v>
      </c>
      <c r="G40" s="8">
        <f t="shared" si="30"/>
        <v>1411.8726851851854</v>
      </c>
      <c r="H40" s="8">
        <f t="shared" si="30"/>
        <v>1701.191666666667</v>
      </c>
      <c r="I40" s="14">
        <f t="shared" si="30"/>
        <v>1992.8254629629632</v>
      </c>
      <c r="J40" s="14">
        <f t="shared" si="30"/>
        <v>2286.7740740740746</v>
      </c>
      <c r="K40" s="14">
        <f t="shared" si="30"/>
        <v>2583.0375000000004</v>
      </c>
      <c r="L40" s="8">
        <f t="shared" si="30"/>
        <v>2881.6157407407413</v>
      </c>
      <c r="M40" s="12"/>
    </row>
    <row r="41" spans="1:16" ht="18" customHeight="1">
      <c r="A41" s="68" t="s">
        <v>29</v>
      </c>
      <c r="B41" s="69"/>
      <c r="C41" s="3" t="s">
        <v>27</v>
      </c>
      <c r="D41" s="10">
        <f aca="true" t="shared" si="31" ref="D41:L41">$P$37/D$40</f>
        <v>5.73677562003157</v>
      </c>
      <c r="E41" s="10">
        <f t="shared" si="31"/>
        <v>3.8087114355568996</v>
      </c>
      <c r="F41" s="10">
        <f t="shared" si="31"/>
        <v>2.844776920430206</v>
      </c>
      <c r="G41" s="10">
        <f t="shared" si="31"/>
        <v>2.266493313156121</v>
      </c>
      <c r="H41" s="10">
        <f t="shared" si="31"/>
        <v>1.8810343729640493</v>
      </c>
      <c r="I41" s="15">
        <f t="shared" si="31"/>
        <v>1.6057602933486164</v>
      </c>
      <c r="J41" s="15">
        <f t="shared" si="31"/>
        <v>1.3993511804596153</v>
      </c>
      <c r="K41" s="15">
        <f t="shared" si="31"/>
        <v>1.238851545902837</v>
      </c>
      <c r="L41" s="10">
        <f t="shared" si="31"/>
        <v>1.110488103864055</v>
      </c>
      <c r="M41" s="13"/>
      <c r="O41" s="2" t="s">
        <v>31</v>
      </c>
      <c r="P41" s="1">
        <v>0.85</v>
      </c>
    </row>
    <row r="42" spans="1:16" ht="18" customHeight="1">
      <c r="A42" s="70"/>
      <c r="B42" s="71"/>
      <c r="C42" s="3" t="s">
        <v>28</v>
      </c>
      <c r="D42" s="3">
        <f aca="true" t="shared" si="32" ref="D42:L42">D$7*D$41</f>
        <v>57.367756200315696</v>
      </c>
      <c r="E42" s="3">
        <f t="shared" si="32"/>
        <v>57.13067153335349</v>
      </c>
      <c r="F42" s="3">
        <f t="shared" si="32"/>
        <v>56.89553840860412</v>
      </c>
      <c r="G42" s="3">
        <f t="shared" si="32"/>
        <v>56.662332828903025</v>
      </c>
      <c r="H42" s="3">
        <f t="shared" si="32"/>
        <v>56.43103118892148</v>
      </c>
      <c r="I42" s="6">
        <f t="shared" si="32"/>
        <v>56.20161026720157</v>
      </c>
      <c r="J42" s="6">
        <f t="shared" si="32"/>
        <v>55.97404721838461</v>
      </c>
      <c r="K42" s="6">
        <f t="shared" si="32"/>
        <v>55.74831956562767</v>
      </c>
      <c r="L42" s="3">
        <f t="shared" si="32"/>
        <v>55.52440519320275</v>
      </c>
      <c r="M42" s="9"/>
      <c r="O42" s="2" t="s">
        <v>32</v>
      </c>
      <c r="P42" s="1">
        <v>0.8</v>
      </c>
    </row>
    <row r="43" spans="1:17" ht="18" customHeight="1">
      <c r="A43" s="67"/>
      <c r="B43" s="67"/>
      <c r="C43" s="67"/>
      <c r="D43" s="67"/>
      <c r="E43" s="67"/>
      <c r="F43" s="67"/>
      <c r="G43" s="67"/>
      <c r="H43" s="67"/>
      <c r="I43" s="67"/>
      <c r="J43" s="3"/>
      <c r="K43" s="3"/>
      <c r="L43" s="3"/>
      <c r="M43" s="9"/>
      <c r="O43" s="2" t="s">
        <v>33</v>
      </c>
      <c r="P43" s="1">
        <v>0.9</v>
      </c>
      <c r="Q43" s="1">
        <f>P41*P43</f>
        <v>0.765</v>
      </c>
    </row>
    <row r="44" spans="1:16" ht="18" customHeight="1">
      <c r="A44" s="3" t="s">
        <v>30</v>
      </c>
      <c r="B44" s="6">
        <v>0.16</v>
      </c>
      <c r="C44" s="3" t="s">
        <v>14</v>
      </c>
      <c r="D44" s="3">
        <f aca="true" t="shared" si="33" ref="D44:L44">$P$32*$P$33*$B$44*D$8</f>
        <v>610.4000000000001</v>
      </c>
      <c r="E44" s="3">
        <f t="shared" si="33"/>
        <v>915.6000000000001</v>
      </c>
      <c r="F44" s="3">
        <f t="shared" si="33"/>
        <v>1220.8000000000002</v>
      </c>
      <c r="G44" s="3">
        <f t="shared" si="33"/>
        <v>1526.0000000000002</v>
      </c>
      <c r="H44" s="3">
        <f t="shared" si="33"/>
        <v>1831.2000000000003</v>
      </c>
      <c r="I44" s="6">
        <f t="shared" si="33"/>
        <v>2136.4</v>
      </c>
      <c r="J44" s="6">
        <f t="shared" si="33"/>
        <v>2441.6000000000004</v>
      </c>
      <c r="K44" s="6">
        <f t="shared" si="33"/>
        <v>2746.8</v>
      </c>
      <c r="L44" s="3">
        <f t="shared" si="33"/>
        <v>3052.0000000000005</v>
      </c>
      <c r="M44" s="9"/>
      <c r="O44" s="2" t="s">
        <v>34</v>
      </c>
      <c r="P44" s="1">
        <f>P41*P42*P43</f>
        <v>0.6120000000000001</v>
      </c>
    </row>
    <row r="45" spans="1:13" ht="18" customHeight="1">
      <c r="A45" s="3"/>
      <c r="B45" s="6"/>
      <c r="C45" s="3" t="s">
        <v>15</v>
      </c>
      <c r="D45" s="3">
        <f>0.5*$P$31*$P$25*$P$26*D$8*D$8</f>
        <v>4.629629629629629</v>
      </c>
      <c r="E45" s="3">
        <f aca="true" t="shared" si="34" ref="E45:L45">0.5*$P$31*$P$25*$P$26*E$8*E$8</f>
        <v>10.416666666666668</v>
      </c>
      <c r="F45" s="3">
        <f t="shared" si="34"/>
        <v>18.518518518518515</v>
      </c>
      <c r="G45" s="3">
        <f t="shared" si="34"/>
        <v>28.935185185185187</v>
      </c>
      <c r="H45" s="3">
        <f t="shared" si="34"/>
        <v>41.66666666666667</v>
      </c>
      <c r="I45" s="6">
        <f t="shared" si="34"/>
        <v>56.712962962962955</v>
      </c>
      <c r="J45" s="6">
        <f t="shared" si="34"/>
        <v>74.07407407407406</v>
      </c>
      <c r="K45" s="6">
        <f t="shared" si="34"/>
        <v>93.75</v>
      </c>
      <c r="L45" s="3">
        <f t="shared" si="34"/>
        <v>115.74074074074075</v>
      </c>
      <c r="M45" s="9"/>
    </row>
    <row r="46" spans="1:16" ht="18" customHeight="1">
      <c r="A46" s="3"/>
      <c r="B46" s="6"/>
      <c r="C46" s="3" t="s">
        <v>16</v>
      </c>
      <c r="D46" s="3">
        <f>$P$34*$P$32*$P$33*D$8</f>
        <v>19.075000000000003</v>
      </c>
      <c r="E46" s="3">
        <f aca="true" t="shared" si="35" ref="E46:L46">$P$34*$P$32*$P$33*E$8</f>
        <v>28.612500000000004</v>
      </c>
      <c r="F46" s="3">
        <f t="shared" si="35"/>
        <v>38.150000000000006</v>
      </c>
      <c r="G46" s="3">
        <f t="shared" si="35"/>
        <v>47.68750000000001</v>
      </c>
      <c r="H46" s="3">
        <f t="shared" si="35"/>
        <v>57.22500000000001</v>
      </c>
      <c r="I46" s="6">
        <f t="shared" si="35"/>
        <v>66.7625</v>
      </c>
      <c r="J46" s="6">
        <f t="shared" si="35"/>
        <v>76.30000000000001</v>
      </c>
      <c r="K46" s="6">
        <f t="shared" si="35"/>
        <v>85.8375</v>
      </c>
      <c r="L46" s="3">
        <f t="shared" si="35"/>
        <v>95.37500000000001</v>
      </c>
      <c r="M46" s="9"/>
      <c r="O46" s="2" t="s">
        <v>35</v>
      </c>
      <c r="P46" s="1">
        <v>20</v>
      </c>
    </row>
    <row r="47" spans="1:16" ht="18" customHeight="1">
      <c r="A47" s="3"/>
      <c r="B47" s="6"/>
      <c r="C47" s="5" t="s">
        <v>17</v>
      </c>
      <c r="D47" s="8">
        <f aca="true" t="shared" si="36" ref="D47:L47">D44+D45+D46</f>
        <v>634.1046296296298</v>
      </c>
      <c r="E47" s="8">
        <f t="shared" si="36"/>
        <v>954.6291666666667</v>
      </c>
      <c r="F47" s="8">
        <f t="shared" si="36"/>
        <v>1277.4685185185187</v>
      </c>
      <c r="G47" s="8">
        <f t="shared" si="36"/>
        <v>1602.6226851851854</v>
      </c>
      <c r="H47" s="8">
        <f t="shared" si="36"/>
        <v>1930.091666666667</v>
      </c>
      <c r="I47" s="14">
        <f t="shared" si="36"/>
        <v>2259.875462962963</v>
      </c>
      <c r="J47" s="14">
        <f t="shared" si="36"/>
        <v>2591.9740740740745</v>
      </c>
      <c r="K47" s="14">
        <f t="shared" si="36"/>
        <v>2926.3875000000003</v>
      </c>
      <c r="L47" s="8">
        <f t="shared" si="36"/>
        <v>3263.1157407407413</v>
      </c>
      <c r="M47" s="12"/>
      <c r="O47" s="2" t="s">
        <v>36</v>
      </c>
      <c r="P47" s="1">
        <v>48</v>
      </c>
    </row>
    <row r="48" spans="1:16" ht="18" customHeight="1">
      <c r="A48" s="68" t="s">
        <v>29</v>
      </c>
      <c r="B48" s="69"/>
      <c r="C48" s="3" t="s">
        <v>27</v>
      </c>
      <c r="D48" s="10">
        <f>$P$37/D$47</f>
        <v>5.0464857855856815</v>
      </c>
      <c r="E48" s="10">
        <f aca="true" t="shared" si="37" ref="E48:L48">$P$37/E$47</f>
        <v>3.352086979673608</v>
      </c>
      <c r="F48" s="10">
        <f t="shared" si="37"/>
        <v>2.5049540975859372</v>
      </c>
      <c r="G48" s="10">
        <f t="shared" si="37"/>
        <v>1.9967270085349098</v>
      </c>
      <c r="H48" s="10">
        <f t="shared" si="37"/>
        <v>1.6579523425053213</v>
      </c>
      <c r="I48" s="15">
        <f t="shared" si="37"/>
        <v>1.4160072324536075</v>
      </c>
      <c r="J48" s="15">
        <f t="shared" si="37"/>
        <v>1.2345802498596092</v>
      </c>
      <c r="K48" s="15">
        <f t="shared" si="37"/>
        <v>1.0934983832455543</v>
      </c>
      <c r="L48" s="10">
        <f t="shared" si="37"/>
        <v>0.980657829585164</v>
      </c>
      <c r="M48" s="13"/>
      <c r="O48" s="2" t="s">
        <v>37</v>
      </c>
      <c r="P48" s="1">
        <f>2*P47*P46</f>
        <v>1920</v>
      </c>
    </row>
    <row r="49" spans="1:13" ht="18" customHeight="1">
      <c r="A49" s="70"/>
      <c r="B49" s="71"/>
      <c r="C49" s="3" t="s">
        <v>28</v>
      </c>
      <c r="D49" s="3">
        <f aca="true" t="shared" si="38" ref="D49:L49">D$7*D$48</f>
        <v>50.46485785585681</v>
      </c>
      <c r="E49" s="3">
        <f t="shared" si="38"/>
        <v>50.28130469510412</v>
      </c>
      <c r="F49" s="3">
        <f t="shared" si="38"/>
        <v>50.099081951718745</v>
      </c>
      <c r="G49" s="3">
        <f t="shared" si="38"/>
        <v>49.91817521337275</v>
      </c>
      <c r="H49" s="3">
        <f t="shared" si="38"/>
        <v>49.73857027515964</v>
      </c>
      <c r="I49" s="6">
        <f t="shared" si="38"/>
        <v>49.56025313587626</v>
      </c>
      <c r="J49" s="6">
        <f t="shared" si="38"/>
        <v>49.38320999438437</v>
      </c>
      <c r="K49" s="6">
        <f t="shared" si="38"/>
        <v>49.20742724604994</v>
      </c>
      <c r="L49" s="3">
        <f t="shared" si="38"/>
        <v>49.0328914792582</v>
      </c>
      <c r="M49" s="9"/>
    </row>
  </sheetData>
  <mergeCells count="13">
    <mergeCell ref="A41:B42"/>
    <mergeCell ref="A9:B12"/>
    <mergeCell ref="A14:B14"/>
    <mergeCell ref="A48:B49"/>
    <mergeCell ref="A36:I36"/>
    <mergeCell ref="A43:I43"/>
    <mergeCell ref="A34:B35"/>
    <mergeCell ref="A7:B8"/>
    <mergeCell ref="A15:I15"/>
    <mergeCell ref="A22:I22"/>
    <mergeCell ref="A29:I29"/>
    <mergeCell ref="A20:B21"/>
    <mergeCell ref="A27:B2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Y65"/>
  <sheetViews>
    <sheetView workbookViewId="0" topLeftCell="A52">
      <selection activeCell="B61" sqref="B61:C61"/>
    </sheetView>
  </sheetViews>
  <sheetFormatPr defaultColWidth="11.421875" defaultRowHeight="18" customHeight="1"/>
  <cols>
    <col min="1" max="2" width="11.421875" style="1" customWidth="1"/>
    <col min="3" max="3" width="24.28125" style="1" bestFit="1" customWidth="1"/>
    <col min="4" max="4" width="9.57421875" style="1" bestFit="1" customWidth="1"/>
    <col min="5" max="5" width="9.57421875" style="1" customWidth="1"/>
    <col min="6" max="6" width="9.140625" style="1" bestFit="1" customWidth="1"/>
    <col min="7" max="7" width="9.140625" style="1" customWidth="1"/>
    <col min="8" max="8" width="15.421875" style="1" bestFit="1" customWidth="1"/>
    <col min="9" max="9" width="15.421875" style="1" customWidth="1"/>
    <col min="10" max="10" width="15.421875" style="1" bestFit="1" customWidth="1"/>
    <col min="11" max="11" width="15.421875" style="1" customWidth="1"/>
    <col min="12" max="12" width="15.421875" style="1" bestFit="1" customWidth="1"/>
    <col min="13" max="13" width="15.421875" style="1" customWidth="1"/>
    <col min="14" max="14" width="15.421875" style="1" bestFit="1" customWidth="1"/>
    <col min="15" max="15" width="15.421875" style="1" customWidth="1"/>
    <col min="16" max="16" width="15.421875" style="1" bestFit="1" customWidth="1"/>
    <col min="17" max="17" width="15.421875" style="1" customWidth="1"/>
    <col min="18" max="18" width="15.421875" style="1" bestFit="1" customWidth="1"/>
    <col min="19" max="20" width="15.421875" style="1" customWidth="1"/>
    <col min="21" max="22" width="11.421875" style="1" customWidth="1"/>
    <col min="23" max="23" width="18.140625" style="1" customWidth="1"/>
    <col min="24" max="16384" width="11.421875" style="1" customWidth="1"/>
  </cols>
  <sheetData>
    <row r="2" spans="3:20" ht="18" customHeight="1">
      <c r="C2" s="3" t="s">
        <v>44</v>
      </c>
      <c r="D2" s="3">
        <f aca="true" t="shared" si="0" ref="D2:T2">D5/$X$40</f>
        <v>8.417508417508417</v>
      </c>
      <c r="E2" s="3">
        <f t="shared" si="0"/>
        <v>10.521885521885523</v>
      </c>
      <c r="F2" s="3">
        <f t="shared" si="0"/>
        <v>12.626262626262626</v>
      </c>
      <c r="G2" s="3">
        <f t="shared" si="0"/>
        <v>14.730639730639728</v>
      </c>
      <c r="H2" s="3">
        <f t="shared" si="0"/>
        <v>16.835016835016834</v>
      </c>
      <c r="I2" s="3">
        <f t="shared" si="0"/>
        <v>18.939393939393938</v>
      </c>
      <c r="J2" s="3">
        <f t="shared" si="0"/>
        <v>21.043771043771045</v>
      </c>
      <c r="K2" s="3">
        <f t="shared" si="0"/>
        <v>23.148148148148145</v>
      </c>
      <c r="L2" s="3">
        <f t="shared" si="0"/>
        <v>25.252525252525253</v>
      </c>
      <c r="M2" s="3">
        <f t="shared" si="0"/>
        <v>27.356902356902353</v>
      </c>
      <c r="N2" s="3">
        <f t="shared" si="0"/>
        <v>29.461279461279457</v>
      </c>
      <c r="O2" s="3">
        <f t="shared" si="0"/>
        <v>31.565656565656564</v>
      </c>
      <c r="P2" s="3">
        <f t="shared" si="0"/>
        <v>33.67003367003367</v>
      </c>
      <c r="Q2" s="3">
        <f t="shared" si="0"/>
        <v>35.774410774410775</v>
      </c>
      <c r="R2" s="3">
        <f t="shared" si="0"/>
        <v>37.878787878787875</v>
      </c>
      <c r="S2" s="3">
        <f t="shared" si="0"/>
        <v>39.98316498316498</v>
      </c>
      <c r="T2" s="3">
        <f t="shared" si="0"/>
        <v>42.08754208754209</v>
      </c>
    </row>
    <row r="3" spans="3:20" ht="18" customHeight="1">
      <c r="C3" s="3" t="s">
        <v>43</v>
      </c>
      <c r="D3" s="3">
        <f>(60*D2)/(2*PI())</f>
        <v>80.38128438984613</v>
      </c>
      <c r="E3" s="3">
        <f aca="true" t="shared" si="1" ref="E3:S3">(60*E2)/(2*PI())</f>
        <v>100.47660548730768</v>
      </c>
      <c r="F3" s="3">
        <f t="shared" si="1"/>
        <v>120.5719265847692</v>
      </c>
      <c r="G3" s="3">
        <f t="shared" si="1"/>
        <v>140.6672476822307</v>
      </c>
      <c r="H3" s="3">
        <f t="shared" si="1"/>
        <v>160.76256877969226</v>
      </c>
      <c r="I3" s="3">
        <f t="shared" si="1"/>
        <v>180.85788987715378</v>
      </c>
      <c r="J3" s="3">
        <f t="shared" si="1"/>
        <v>200.95321097461536</v>
      </c>
      <c r="K3" s="3">
        <f t="shared" si="1"/>
        <v>221.04853207207682</v>
      </c>
      <c r="L3" s="3">
        <f t="shared" si="1"/>
        <v>241.1438531695384</v>
      </c>
      <c r="M3" s="3">
        <f t="shared" si="1"/>
        <v>261.2391742669999</v>
      </c>
      <c r="N3" s="3">
        <f t="shared" si="1"/>
        <v>281.3344953644614</v>
      </c>
      <c r="O3" s="3">
        <f t="shared" si="1"/>
        <v>301.429816461923</v>
      </c>
      <c r="P3" s="3">
        <f t="shared" si="1"/>
        <v>321.5251375593845</v>
      </c>
      <c r="Q3" s="3">
        <f t="shared" si="1"/>
        <v>341.6204586568461</v>
      </c>
      <c r="R3" s="3">
        <f t="shared" si="1"/>
        <v>361.71577975430756</v>
      </c>
      <c r="S3" s="3">
        <f t="shared" si="1"/>
        <v>381.8111008517691</v>
      </c>
      <c r="T3" s="3">
        <f>(60*T2)/(2*PI())</f>
        <v>401.9064219492307</v>
      </c>
    </row>
    <row r="4" spans="1:20" ht="18" customHeight="1">
      <c r="A4" s="65" t="s">
        <v>18</v>
      </c>
      <c r="B4" s="66"/>
      <c r="C4" s="3" t="s">
        <v>19</v>
      </c>
      <c r="D4" s="10">
        <f>10</f>
        <v>10</v>
      </c>
      <c r="E4" s="10">
        <v>12.5</v>
      </c>
      <c r="F4" s="10">
        <v>15</v>
      </c>
      <c r="G4" s="10">
        <v>17.5</v>
      </c>
      <c r="H4" s="10">
        <v>20</v>
      </c>
      <c r="I4" s="10">
        <v>22.5</v>
      </c>
      <c r="J4" s="10">
        <v>25</v>
      </c>
      <c r="K4" s="10">
        <v>27.5</v>
      </c>
      <c r="L4" s="10">
        <v>30</v>
      </c>
      <c r="M4" s="15">
        <v>32.5</v>
      </c>
      <c r="N4" s="15">
        <v>35</v>
      </c>
      <c r="O4" s="15">
        <v>37.5</v>
      </c>
      <c r="P4" s="10">
        <v>40</v>
      </c>
      <c r="Q4" s="10">
        <v>42.5</v>
      </c>
      <c r="R4" s="10">
        <v>45</v>
      </c>
      <c r="S4" s="10">
        <v>47.5</v>
      </c>
      <c r="T4" s="10">
        <v>50</v>
      </c>
    </row>
    <row r="5" spans="1:20" ht="18" customHeight="1">
      <c r="A5" s="65"/>
      <c r="B5" s="66"/>
      <c r="C5" s="3" t="s">
        <v>20</v>
      </c>
      <c r="D5" s="3">
        <f>D4/3.6</f>
        <v>2.7777777777777777</v>
      </c>
      <c r="E5" s="3">
        <f>E4/3.6</f>
        <v>3.4722222222222223</v>
      </c>
      <c r="F5" s="3">
        <f aca="true" t="shared" si="2" ref="F5:T5">F4/3.6</f>
        <v>4.166666666666667</v>
      </c>
      <c r="G5" s="3">
        <f t="shared" si="2"/>
        <v>4.861111111111111</v>
      </c>
      <c r="H5" s="3">
        <f t="shared" si="2"/>
        <v>5.555555555555555</v>
      </c>
      <c r="I5" s="3">
        <f t="shared" si="2"/>
        <v>6.25</v>
      </c>
      <c r="J5" s="3">
        <f t="shared" si="2"/>
        <v>6.944444444444445</v>
      </c>
      <c r="K5" s="3">
        <f t="shared" si="2"/>
        <v>7.638888888888888</v>
      </c>
      <c r="L5" s="3">
        <f t="shared" si="2"/>
        <v>8.333333333333334</v>
      </c>
      <c r="M5" s="3">
        <f t="shared" si="2"/>
        <v>9.027777777777777</v>
      </c>
      <c r="N5" s="3">
        <f t="shared" si="2"/>
        <v>9.722222222222221</v>
      </c>
      <c r="O5" s="3">
        <f t="shared" si="2"/>
        <v>10.416666666666666</v>
      </c>
      <c r="P5" s="3">
        <f t="shared" si="2"/>
        <v>11.11111111111111</v>
      </c>
      <c r="Q5" s="3">
        <f t="shared" si="2"/>
        <v>11.805555555555555</v>
      </c>
      <c r="R5" s="3">
        <f t="shared" si="2"/>
        <v>12.5</v>
      </c>
      <c r="S5" s="3">
        <f t="shared" si="2"/>
        <v>13.194444444444445</v>
      </c>
      <c r="T5" s="3">
        <f t="shared" si="2"/>
        <v>13.88888888888889</v>
      </c>
    </row>
    <row r="6" spans="1:20" ht="28.5" customHeight="1">
      <c r="A6" s="72" t="s">
        <v>0</v>
      </c>
      <c r="B6" s="73"/>
      <c r="C6" s="4" t="s">
        <v>13</v>
      </c>
      <c r="D6" s="3">
        <f aca="true" t="shared" si="3" ref="D6:T6">$X$35*$X$36*$B13*$D$5</f>
        <v>0</v>
      </c>
      <c r="E6" s="3">
        <f t="shared" si="3"/>
        <v>0</v>
      </c>
      <c r="F6" s="3">
        <f t="shared" si="3"/>
        <v>0</v>
      </c>
      <c r="G6" s="3">
        <f t="shared" si="3"/>
        <v>0</v>
      </c>
      <c r="H6" s="3">
        <f t="shared" si="3"/>
        <v>0</v>
      </c>
      <c r="I6" s="3">
        <f t="shared" si="3"/>
        <v>0</v>
      </c>
      <c r="J6" s="3">
        <f t="shared" si="3"/>
        <v>0</v>
      </c>
      <c r="K6" s="3">
        <f t="shared" si="3"/>
        <v>0</v>
      </c>
      <c r="L6" s="3">
        <f t="shared" si="3"/>
        <v>0</v>
      </c>
      <c r="M6" s="3">
        <f t="shared" si="3"/>
        <v>0</v>
      </c>
      <c r="N6" s="3">
        <f t="shared" si="3"/>
        <v>0</v>
      </c>
      <c r="O6" s="3">
        <f t="shared" si="3"/>
        <v>0</v>
      </c>
      <c r="P6" s="3">
        <f t="shared" si="3"/>
        <v>0</v>
      </c>
      <c r="Q6" s="3">
        <f t="shared" si="3"/>
        <v>0</v>
      </c>
      <c r="R6" s="3">
        <f t="shared" si="3"/>
        <v>0</v>
      </c>
      <c r="S6" s="3">
        <f t="shared" si="3"/>
        <v>0</v>
      </c>
      <c r="T6" s="3">
        <f t="shared" si="3"/>
        <v>0</v>
      </c>
    </row>
    <row r="7" spans="1:20" ht="18" customHeight="1">
      <c r="A7" s="74"/>
      <c r="B7" s="75"/>
      <c r="C7" s="3" t="s">
        <v>22</v>
      </c>
      <c r="D7" s="3">
        <f>$X$37*$X$35*$X$36*D$5</f>
        <v>19.075000000000003</v>
      </c>
      <c r="E7" s="3">
        <f>$X$37*$X$35*$X$36*E$5</f>
        <v>23.843750000000004</v>
      </c>
      <c r="F7" s="3">
        <f aca="true" t="shared" si="4" ref="F7:T7">$X$37*$X$35*$X$36*F$5</f>
        <v>28.612500000000004</v>
      </c>
      <c r="G7" s="3">
        <f t="shared" si="4"/>
        <v>33.38125</v>
      </c>
      <c r="H7" s="3">
        <f t="shared" si="4"/>
        <v>38.150000000000006</v>
      </c>
      <c r="I7" s="3">
        <f t="shared" si="4"/>
        <v>42.91875</v>
      </c>
      <c r="J7" s="3">
        <f t="shared" si="4"/>
        <v>47.68750000000001</v>
      </c>
      <c r="K7" s="3">
        <f t="shared" si="4"/>
        <v>52.456250000000004</v>
      </c>
      <c r="L7" s="3">
        <f t="shared" si="4"/>
        <v>57.22500000000001</v>
      </c>
      <c r="M7" s="3">
        <f t="shared" si="4"/>
        <v>61.99375</v>
      </c>
      <c r="N7" s="3">
        <f t="shared" si="4"/>
        <v>66.7625</v>
      </c>
      <c r="O7" s="3">
        <f t="shared" si="4"/>
        <v>71.53125</v>
      </c>
      <c r="P7" s="3">
        <f t="shared" si="4"/>
        <v>76.30000000000001</v>
      </c>
      <c r="Q7" s="3">
        <f t="shared" si="4"/>
        <v>81.06875000000001</v>
      </c>
      <c r="R7" s="3">
        <f t="shared" si="4"/>
        <v>85.8375</v>
      </c>
      <c r="S7" s="3">
        <f t="shared" si="4"/>
        <v>90.60625000000002</v>
      </c>
      <c r="T7" s="3">
        <f t="shared" si="4"/>
        <v>95.37500000000001</v>
      </c>
    </row>
    <row r="8" spans="1:20" ht="18" customHeight="1">
      <c r="A8" s="74"/>
      <c r="B8" s="75"/>
      <c r="C8" s="3" t="s">
        <v>12</v>
      </c>
      <c r="D8" s="3">
        <f>0.5*$X$34*$X$26*$X$27*D$5*D$5</f>
        <v>4.629629629629629</v>
      </c>
      <c r="E8" s="3">
        <f aca="true" t="shared" si="5" ref="E8:T8">0.5*$X$34*$X$26*$X$27*E$5*E$5</f>
        <v>7.233796296296297</v>
      </c>
      <c r="F8" s="3">
        <f t="shared" si="5"/>
        <v>10.416666666666668</v>
      </c>
      <c r="G8" s="3">
        <f t="shared" si="5"/>
        <v>14.178240740740739</v>
      </c>
      <c r="H8" s="3">
        <f t="shared" si="5"/>
        <v>18.518518518518515</v>
      </c>
      <c r="I8" s="3">
        <f t="shared" si="5"/>
        <v>23.4375</v>
      </c>
      <c r="J8" s="3">
        <f t="shared" si="5"/>
        <v>28.935185185185187</v>
      </c>
      <c r="K8" s="3">
        <f t="shared" si="5"/>
        <v>35.01157407407407</v>
      </c>
      <c r="L8" s="3">
        <f t="shared" si="5"/>
        <v>41.66666666666667</v>
      </c>
      <c r="M8" s="3">
        <f t="shared" si="5"/>
        <v>48.900462962962955</v>
      </c>
      <c r="N8" s="3">
        <f t="shared" si="5"/>
        <v>56.712962962962955</v>
      </c>
      <c r="O8" s="3">
        <f t="shared" si="5"/>
        <v>65.10416666666666</v>
      </c>
      <c r="P8" s="3">
        <f t="shared" si="5"/>
        <v>74.07407407407406</v>
      </c>
      <c r="Q8" s="3">
        <f t="shared" si="5"/>
        <v>83.62268518518518</v>
      </c>
      <c r="R8" s="3">
        <f t="shared" si="5"/>
        <v>93.75</v>
      </c>
      <c r="S8" s="3">
        <f t="shared" si="5"/>
        <v>104.45601851851852</v>
      </c>
      <c r="T8" s="3">
        <f t="shared" si="5"/>
        <v>115.74074074074075</v>
      </c>
    </row>
    <row r="9" spans="1:20" ht="18" customHeight="1">
      <c r="A9" s="76"/>
      <c r="B9" s="77"/>
      <c r="C9" s="5" t="s">
        <v>21</v>
      </c>
      <c r="D9" s="8">
        <f aca="true" t="shared" si="6" ref="D9:T9">D$8+D$7</f>
        <v>23.704629629629633</v>
      </c>
      <c r="E9" s="8">
        <f t="shared" si="6"/>
        <v>31.0775462962963</v>
      </c>
      <c r="F9" s="8">
        <f t="shared" si="6"/>
        <v>39.02916666666667</v>
      </c>
      <c r="G9" s="8">
        <f t="shared" si="6"/>
        <v>47.55949074074074</v>
      </c>
      <c r="H9" s="8">
        <f t="shared" si="6"/>
        <v>56.668518518518525</v>
      </c>
      <c r="I9" s="8">
        <f t="shared" si="6"/>
        <v>66.35625</v>
      </c>
      <c r="J9" s="8">
        <f t="shared" si="6"/>
        <v>76.62268518518519</v>
      </c>
      <c r="K9" s="8">
        <f t="shared" si="6"/>
        <v>87.46782407407407</v>
      </c>
      <c r="L9" s="8">
        <f t="shared" si="6"/>
        <v>98.89166666666668</v>
      </c>
      <c r="M9" s="8">
        <f t="shared" si="6"/>
        <v>110.89421296296295</v>
      </c>
      <c r="N9" s="8">
        <f t="shared" si="6"/>
        <v>123.47546296296295</v>
      </c>
      <c r="O9" s="8">
        <f t="shared" si="6"/>
        <v>136.63541666666666</v>
      </c>
      <c r="P9" s="8">
        <f t="shared" si="6"/>
        <v>150.3740740740741</v>
      </c>
      <c r="Q9" s="8">
        <f t="shared" si="6"/>
        <v>164.69143518518518</v>
      </c>
      <c r="R9" s="8">
        <f t="shared" si="6"/>
        <v>179.5875</v>
      </c>
      <c r="S9" s="8">
        <f t="shared" si="6"/>
        <v>195.06226851851852</v>
      </c>
      <c r="T9" s="8">
        <f t="shared" si="6"/>
        <v>211.11574074074076</v>
      </c>
    </row>
    <row r="10" spans="1:20" ht="18" customHeight="1">
      <c r="A10" s="3"/>
      <c r="B10" s="3"/>
      <c r="C10" s="3" t="s">
        <v>31</v>
      </c>
      <c r="D10" s="3">
        <v>0.6502383027436538</v>
      </c>
      <c r="E10" s="3">
        <v>0.6627978784295673</v>
      </c>
      <c r="F10" s="3">
        <v>0.6753574541154808</v>
      </c>
      <c r="G10" s="3">
        <v>0.6879170298013941</v>
      </c>
      <c r="H10" s="3">
        <v>0.7004766054873076</v>
      </c>
      <c r="I10" s="3">
        <v>0.7130361811732211</v>
      </c>
      <c r="J10" s="3">
        <v>0.7255957568591346</v>
      </c>
      <c r="K10" s="3">
        <v>0.7381553325450481</v>
      </c>
      <c r="L10" s="3">
        <v>0.7507149082309614</v>
      </c>
      <c r="M10" s="3">
        <v>0.7632744839168749</v>
      </c>
      <c r="N10" s="3">
        <v>0.7758340596027884</v>
      </c>
      <c r="O10" s="3">
        <v>0.7883936352887019</v>
      </c>
      <c r="P10" s="3">
        <v>0.8009532109746154</v>
      </c>
      <c r="Q10" s="3">
        <v>0.8135127866605287</v>
      </c>
      <c r="R10" s="3">
        <v>0.8260723623464422</v>
      </c>
      <c r="S10" s="3">
        <v>0.8386319380323557</v>
      </c>
      <c r="T10" s="3">
        <v>0.8511915137182692</v>
      </c>
    </row>
    <row r="11" spans="1:20" ht="18" customHeight="1">
      <c r="A11" s="3"/>
      <c r="B11" s="3"/>
      <c r="C11" s="3" t="s">
        <v>47</v>
      </c>
      <c r="D11" s="3">
        <v>0.9</v>
      </c>
      <c r="E11" s="3">
        <v>0.9</v>
      </c>
      <c r="F11" s="3">
        <v>0.9</v>
      </c>
      <c r="G11" s="3">
        <v>0.9</v>
      </c>
      <c r="H11" s="3">
        <v>0.9</v>
      </c>
      <c r="I11" s="3">
        <v>0.9</v>
      </c>
      <c r="J11" s="3">
        <v>0.9</v>
      </c>
      <c r="K11" s="3">
        <v>0.9</v>
      </c>
      <c r="L11" s="3">
        <v>0.9</v>
      </c>
      <c r="M11" s="3">
        <v>0.9</v>
      </c>
      <c r="N11" s="3">
        <v>0.9</v>
      </c>
      <c r="O11" s="3">
        <v>0.9</v>
      </c>
      <c r="P11" s="3">
        <v>0.9</v>
      </c>
      <c r="Q11" s="3">
        <v>0.9</v>
      </c>
      <c r="R11" s="3">
        <v>0.9</v>
      </c>
      <c r="S11" s="3">
        <v>0.9</v>
      </c>
      <c r="T11" s="3">
        <v>0.9</v>
      </c>
    </row>
    <row r="12" spans="1:20" ht="18" customHeight="1">
      <c r="A12" s="3"/>
      <c r="B12" s="6"/>
      <c r="C12" s="3" t="s">
        <v>46</v>
      </c>
      <c r="D12" s="8">
        <f>D$9/(D$11*D$10)</f>
        <v>40.505884158347826</v>
      </c>
      <c r="E12" s="8">
        <f aca="true" t="shared" si="7" ref="E12:T12">E$9/(E$11*E$10)</f>
        <v>52.09824611645042</v>
      </c>
      <c r="F12" s="8">
        <f t="shared" si="7"/>
        <v>64.2115378700263</v>
      </c>
      <c r="G12" s="8">
        <f t="shared" si="7"/>
        <v>76.81722694970844</v>
      </c>
      <c r="H12" s="8">
        <f t="shared" si="7"/>
        <v>89.88882723974513</v>
      </c>
      <c r="I12" s="8">
        <f t="shared" si="7"/>
        <v>103.40171875339284</v>
      </c>
      <c r="J12" s="8">
        <f t="shared" si="7"/>
        <v>117.33298612571151</v>
      </c>
      <c r="K12" s="8">
        <f t="shared" si="7"/>
        <v>131.66127359444977</v>
      </c>
      <c r="L12" s="8">
        <f t="shared" si="7"/>
        <v>146.36665453808277</v>
      </c>
      <c r="M12" s="8">
        <f t="shared" si="7"/>
        <v>161.43051389425048</v>
      </c>
      <c r="N12" s="8">
        <f t="shared" si="7"/>
        <v>176.83544199899873</v>
      </c>
      <c r="O12" s="8">
        <f t="shared" si="7"/>
        <v>192.5651385732404</v>
      </c>
      <c r="P12" s="8">
        <f t="shared" si="7"/>
        <v>208.6043257426236</v>
      </c>
      <c r="Q12" s="8">
        <f t="shared" si="7"/>
        <v>224.93866911455794</v>
      </c>
      <c r="R12" s="8">
        <f t="shared" si="7"/>
        <v>241.5547060548939</v>
      </c>
      <c r="S12" s="8">
        <f t="shared" si="7"/>
        <v>258.43978040948764</v>
      </c>
      <c r="T12" s="8">
        <f t="shared" si="7"/>
        <v>275.5819830049782</v>
      </c>
    </row>
    <row r="13" spans="1:20" ht="18" customHeight="1">
      <c r="A13" s="3" t="s">
        <v>51</v>
      </c>
      <c r="B13" s="6">
        <v>0</v>
      </c>
      <c r="C13" s="3" t="s">
        <v>27</v>
      </c>
      <c r="D13" s="10">
        <f aca="true" t="shared" si="8" ref="D13:T13">$X$42/D$12</f>
        <v>79.00086781195503</v>
      </c>
      <c r="E13" s="10">
        <f t="shared" si="8"/>
        <v>61.42241320076945</v>
      </c>
      <c r="F13" s="10">
        <f t="shared" si="8"/>
        <v>49.83528048303835</v>
      </c>
      <c r="G13" s="10">
        <f t="shared" si="8"/>
        <v>41.657322544264865</v>
      </c>
      <c r="H13" s="10">
        <f t="shared" si="8"/>
        <v>35.599529977904666</v>
      </c>
      <c r="I13" s="10">
        <f t="shared" si="8"/>
        <v>30.947261211700127</v>
      </c>
      <c r="J13" s="10">
        <f t="shared" si="8"/>
        <v>27.272807977217028</v>
      </c>
      <c r="K13" s="10">
        <f t="shared" si="8"/>
        <v>24.304792993699987</v>
      </c>
      <c r="L13" s="10">
        <f t="shared" si="8"/>
        <v>21.862903200861233</v>
      </c>
      <c r="M13" s="10">
        <f t="shared" si="8"/>
        <v>19.822770322692826</v>
      </c>
      <c r="N13" s="10">
        <f t="shared" si="8"/>
        <v>18.095919934523753</v>
      </c>
      <c r="O13" s="10">
        <f t="shared" si="8"/>
        <v>16.617753471420315</v>
      </c>
      <c r="P13" s="10">
        <f t="shared" si="8"/>
        <v>15.340046226789017</v>
      </c>
      <c r="Q13" s="10">
        <f t="shared" si="8"/>
        <v>14.226099996929774</v>
      </c>
      <c r="R13" s="10">
        <f t="shared" si="8"/>
        <v>13.247516689957562</v>
      </c>
      <c r="S13" s="10">
        <f t="shared" si="8"/>
        <v>12.381994733665715</v>
      </c>
      <c r="T13" s="10">
        <f t="shared" si="8"/>
        <v>11.611789584742898</v>
      </c>
    </row>
    <row r="14" spans="1:20" ht="18" customHeight="1">
      <c r="A14" s="66"/>
      <c r="B14" s="78"/>
      <c r="C14" s="3" t="s">
        <v>28</v>
      </c>
      <c r="D14" s="11">
        <f aca="true" t="shared" si="9" ref="D14:T14">D$4*D$13</f>
        <v>790.0086781195503</v>
      </c>
      <c r="E14" s="11">
        <f t="shared" si="9"/>
        <v>767.7801650096181</v>
      </c>
      <c r="F14" s="11">
        <f t="shared" si="9"/>
        <v>747.5292072455753</v>
      </c>
      <c r="G14" s="11">
        <f t="shared" si="9"/>
        <v>729.0031445246351</v>
      </c>
      <c r="H14" s="11">
        <f t="shared" si="9"/>
        <v>711.9905995580933</v>
      </c>
      <c r="I14" s="11">
        <f t="shared" si="9"/>
        <v>696.3133772632528</v>
      </c>
      <c r="J14" s="11">
        <f t="shared" si="9"/>
        <v>681.8201994304256</v>
      </c>
      <c r="K14" s="11">
        <f t="shared" si="9"/>
        <v>668.3818073267496</v>
      </c>
      <c r="L14" s="11">
        <f t="shared" si="9"/>
        <v>655.887096025837</v>
      </c>
      <c r="M14" s="11">
        <f t="shared" si="9"/>
        <v>644.2400354875168</v>
      </c>
      <c r="N14" s="11">
        <f t="shared" si="9"/>
        <v>633.3571977083313</v>
      </c>
      <c r="O14" s="11">
        <f t="shared" si="9"/>
        <v>623.1657551782619</v>
      </c>
      <c r="P14" s="11">
        <f t="shared" si="9"/>
        <v>613.6018490715607</v>
      </c>
      <c r="Q14" s="11">
        <f t="shared" si="9"/>
        <v>604.6092498695153</v>
      </c>
      <c r="R14" s="11">
        <f t="shared" si="9"/>
        <v>596.1382510480903</v>
      </c>
      <c r="S14" s="11">
        <f t="shared" si="9"/>
        <v>588.1447498491215</v>
      </c>
      <c r="T14" s="11">
        <f t="shared" si="9"/>
        <v>580.5894792371449</v>
      </c>
    </row>
    <row r="15" ht="9" customHeight="1"/>
    <row r="16" spans="1:20" ht="18" customHeight="1">
      <c r="A16" s="3" t="s">
        <v>52</v>
      </c>
      <c r="B16" s="6">
        <v>0.04</v>
      </c>
      <c r="C16" s="3" t="s">
        <v>14</v>
      </c>
      <c r="D16" s="3">
        <f aca="true" t="shared" si="10" ref="D16:T16">$X$35*$X$36*$B$16*D5</f>
        <v>152.60000000000002</v>
      </c>
      <c r="E16" s="3">
        <f t="shared" si="10"/>
        <v>190.75000000000003</v>
      </c>
      <c r="F16" s="3">
        <f t="shared" si="10"/>
        <v>228.90000000000003</v>
      </c>
      <c r="G16" s="3">
        <f t="shared" si="10"/>
        <v>267.05</v>
      </c>
      <c r="H16" s="3">
        <f t="shared" si="10"/>
        <v>305.20000000000005</v>
      </c>
      <c r="I16" s="3">
        <f t="shared" si="10"/>
        <v>343.35</v>
      </c>
      <c r="J16" s="3">
        <f t="shared" si="10"/>
        <v>381.50000000000006</v>
      </c>
      <c r="K16" s="3">
        <f t="shared" si="10"/>
        <v>419.65000000000003</v>
      </c>
      <c r="L16" s="3">
        <f t="shared" si="10"/>
        <v>457.80000000000007</v>
      </c>
      <c r="M16" s="3">
        <f t="shared" si="10"/>
        <v>495.95</v>
      </c>
      <c r="N16" s="3">
        <f t="shared" si="10"/>
        <v>534.1</v>
      </c>
      <c r="O16" s="3">
        <f t="shared" si="10"/>
        <v>572.25</v>
      </c>
      <c r="P16" s="3">
        <f t="shared" si="10"/>
        <v>610.4000000000001</v>
      </c>
      <c r="Q16" s="3">
        <f t="shared" si="10"/>
        <v>648.5500000000001</v>
      </c>
      <c r="R16" s="3">
        <f t="shared" si="10"/>
        <v>686.7</v>
      </c>
      <c r="S16" s="3">
        <f t="shared" si="10"/>
        <v>724.8500000000001</v>
      </c>
      <c r="T16" s="3">
        <f t="shared" si="10"/>
        <v>763.0000000000001</v>
      </c>
    </row>
    <row r="17" spans="1:20" ht="18" customHeight="1">
      <c r="A17" s="3"/>
      <c r="B17" s="6"/>
      <c r="C17" s="3" t="s">
        <v>15</v>
      </c>
      <c r="D17" s="3">
        <f aca="true" t="shared" si="11" ref="D17:T17">0.5*$X$34*$X$26*$X$27*D$5*D$5</f>
        <v>4.629629629629629</v>
      </c>
      <c r="E17" s="3">
        <f t="shared" si="11"/>
        <v>7.233796296296297</v>
      </c>
      <c r="F17" s="3">
        <f t="shared" si="11"/>
        <v>10.416666666666668</v>
      </c>
      <c r="G17" s="3">
        <f t="shared" si="11"/>
        <v>14.178240740740739</v>
      </c>
      <c r="H17" s="3">
        <f t="shared" si="11"/>
        <v>18.518518518518515</v>
      </c>
      <c r="I17" s="3">
        <f t="shared" si="11"/>
        <v>23.4375</v>
      </c>
      <c r="J17" s="3">
        <f t="shared" si="11"/>
        <v>28.935185185185187</v>
      </c>
      <c r="K17" s="3">
        <f t="shared" si="11"/>
        <v>35.01157407407407</v>
      </c>
      <c r="L17" s="3">
        <f t="shared" si="11"/>
        <v>41.66666666666667</v>
      </c>
      <c r="M17" s="3">
        <f t="shared" si="11"/>
        <v>48.900462962962955</v>
      </c>
      <c r="N17" s="3">
        <f t="shared" si="11"/>
        <v>56.712962962962955</v>
      </c>
      <c r="O17" s="3">
        <f t="shared" si="11"/>
        <v>65.10416666666666</v>
      </c>
      <c r="P17" s="3">
        <f t="shared" si="11"/>
        <v>74.07407407407406</v>
      </c>
      <c r="Q17" s="3">
        <f t="shared" si="11"/>
        <v>83.62268518518518</v>
      </c>
      <c r="R17" s="3">
        <f t="shared" si="11"/>
        <v>93.75</v>
      </c>
      <c r="S17" s="3">
        <f t="shared" si="11"/>
        <v>104.45601851851852</v>
      </c>
      <c r="T17" s="3">
        <f t="shared" si="11"/>
        <v>115.74074074074075</v>
      </c>
    </row>
    <row r="18" spans="1:20" ht="18" customHeight="1">
      <c r="A18" s="3"/>
      <c r="B18" s="6"/>
      <c r="C18" s="3" t="s">
        <v>16</v>
      </c>
      <c r="D18" s="3">
        <f aca="true" t="shared" si="12" ref="D18:T18">$X$37*$X$35*$X$36*D$5</f>
        <v>19.075000000000003</v>
      </c>
      <c r="E18" s="3">
        <f t="shared" si="12"/>
        <v>23.843750000000004</v>
      </c>
      <c r="F18" s="3">
        <f t="shared" si="12"/>
        <v>28.612500000000004</v>
      </c>
      <c r="G18" s="3">
        <f t="shared" si="12"/>
        <v>33.38125</v>
      </c>
      <c r="H18" s="3">
        <f t="shared" si="12"/>
        <v>38.150000000000006</v>
      </c>
      <c r="I18" s="3">
        <f t="shared" si="12"/>
        <v>42.91875</v>
      </c>
      <c r="J18" s="3">
        <f t="shared" si="12"/>
        <v>47.68750000000001</v>
      </c>
      <c r="K18" s="3">
        <f t="shared" si="12"/>
        <v>52.456250000000004</v>
      </c>
      <c r="L18" s="3">
        <f t="shared" si="12"/>
        <v>57.22500000000001</v>
      </c>
      <c r="M18" s="3">
        <f t="shared" si="12"/>
        <v>61.99375</v>
      </c>
      <c r="N18" s="3">
        <f t="shared" si="12"/>
        <v>66.7625</v>
      </c>
      <c r="O18" s="3">
        <f t="shared" si="12"/>
        <v>71.53125</v>
      </c>
      <c r="P18" s="3">
        <f t="shared" si="12"/>
        <v>76.30000000000001</v>
      </c>
      <c r="Q18" s="3">
        <f t="shared" si="12"/>
        <v>81.06875000000001</v>
      </c>
      <c r="R18" s="3">
        <f t="shared" si="12"/>
        <v>85.8375</v>
      </c>
      <c r="S18" s="3">
        <f t="shared" si="12"/>
        <v>90.60625000000002</v>
      </c>
      <c r="T18" s="3">
        <f t="shared" si="12"/>
        <v>95.37500000000001</v>
      </c>
    </row>
    <row r="19" spans="1:20" ht="18" customHeight="1">
      <c r="A19" s="3"/>
      <c r="B19" s="6"/>
      <c r="C19" s="5" t="s">
        <v>17</v>
      </c>
      <c r="D19" s="11">
        <f>D$16+D$17+D$18</f>
        <v>176.30462962962963</v>
      </c>
      <c r="E19" s="11">
        <f aca="true" t="shared" si="13" ref="E19:T19">E$16+E$17+E$18</f>
        <v>221.82754629629633</v>
      </c>
      <c r="F19" s="11">
        <f t="shared" si="13"/>
        <v>267.9291666666667</v>
      </c>
      <c r="G19" s="11">
        <f t="shared" si="13"/>
        <v>314.6094907407408</v>
      </c>
      <c r="H19" s="11">
        <f t="shared" si="13"/>
        <v>361.8685185185186</v>
      </c>
      <c r="I19" s="11">
        <f t="shared" si="13"/>
        <v>409.70625</v>
      </c>
      <c r="J19" s="11">
        <f t="shared" si="13"/>
        <v>458.1226851851852</v>
      </c>
      <c r="K19" s="11">
        <f t="shared" si="13"/>
        <v>507.1178240740741</v>
      </c>
      <c r="L19" s="11">
        <f t="shared" si="13"/>
        <v>556.6916666666667</v>
      </c>
      <c r="M19" s="11">
        <f t="shared" si="13"/>
        <v>606.844212962963</v>
      </c>
      <c r="N19" s="11">
        <f t="shared" si="13"/>
        <v>657.575462962963</v>
      </c>
      <c r="O19" s="11">
        <f t="shared" si="13"/>
        <v>708.8854166666666</v>
      </c>
      <c r="P19" s="11">
        <f t="shared" si="13"/>
        <v>760.7740740740742</v>
      </c>
      <c r="Q19" s="11">
        <f t="shared" si="13"/>
        <v>813.2414351851853</v>
      </c>
      <c r="R19" s="11">
        <f t="shared" si="13"/>
        <v>866.2875</v>
      </c>
      <c r="S19" s="11">
        <f t="shared" si="13"/>
        <v>919.9122685185187</v>
      </c>
      <c r="T19" s="11">
        <f t="shared" si="13"/>
        <v>974.1157407407409</v>
      </c>
    </row>
    <row r="20" spans="1:20" ht="18" customHeight="1">
      <c r="A20" s="19"/>
      <c r="B20" s="20"/>
      <c r="C20" s="11" t="s">
        <v>48</v>
      </c>
      <c r="D20" s="8">
        <f>D$19/(D$11*D$10)</f>
        <v>301.2649856141108</v>
      </c>
      <c r="E20" s="8">
        <f aca="true" t="shared" si="14" ref="E20:T20">E$19/(E$11*E$10)</f>
        <v>371.8706101237485</v>
      </c>
      <c r="F20" s="8">
        <f t="shared" si="14"/>
        <v>440.80223333578533</v>
      </c>
      <c r="G20" s="8">
        <f t="shared" si="14"/>
        <v>508.1515439790278</v>
      </c>
      <c r="H20" s="8">
        <f t="shared" si="14"/>
        <v>574.0036548508663</v>
      </c>
      <c r="I20" s="8">
        <f t="shared" si="14"/>
        <v>638.4376819667666</v>
      </c>
      <c r="J20" s="8">
        <f t="shared" si="14"/>
        <v>701.5272635616278</v>
      </c>
      <c r="K20" s="8">
        <f t="shared" si="14"/>
        <v>763.3410261068681</v>
      </c>
      <c r="L20" s="8">
        <f t="shared" si="14"/>
        <v>823.9430035482889</v>
      </c>
      <c r="M20" s="8">
        <f t="shared" si="14"/>
        <v>883.3930151529311</v>
      </c>
      <c r="N20" s="8">
        <f t="shared" si="14"/>
        <v>941.7470066553328</v>
      </c>
      <c r="O20" s="8">
        <f t="shared" si="14"/>
        <v>999.0573587958168</v>
      </c>
      <c r="P20" s="8">
        <f t="shared" si="14"/>
        <v>1055.373166830043</v>
      </c>
      <c r="Q20" s="8">
        <f t="shared" si="14"/>
        <v>1110.7404941469842</v>
      </c>
      <c r="R20" s="8">
        <f t="shared" si="14"/>
        <v>1165.2026027509091</v>
      </c>
      <c r="S20" s="8">
        <f t="shared" si="14"/>
        <v>1218.8001630328072</v>
      </c>
      <c r="T20" s="8">
        <f t="shared" si="14"/>
        <v>1271.5714449703835</v>
      </c>
    </row>
    <row r="21" spans="1:20" ht="18" customHeight="1">
      <c r="A21" s="19"/>
      <c r="B21" s="20"/>
      <c r="C21" s="11" t="s">
        <v>50</v>
      </c>
      <c r="D21" s="8" t="str">
        <f>IF(D$20&gt;1920,"défaut Pmax elec","Pmax OK")</f>
        <v>Pmax OK</v>
      </c>
      <c r="E21" s="8" t="str">
        <f aca="true" t="shared" si="15" ref="E21:T21">IF(E$20&gt;1920,"défaut Pmax elec","Pmax OK")</f>
        <v>Pmax OK</v>
      </c>
      <c r="F21" s="8" t="str">
        <f t="shared" si="15"/>
        <v>Pmax OK</v>
      </c>
      <c r="G21" s="8" t="str">
        <f t="shared" si="15"/>
        <v>Pmax OK</v>
      </c>
      <c r="H21" s="8" t="str">
        <f t="shared" si="15"/>
        <v>Pmax OK</v>
      </c>
      <c r="I21" s="8" t="str">
        <f t="shared" si="15"/>
        <v>Pmax OK</v>
      </c>
      <c r="J21" s="8" t="str">
        <f t="shared" si="15"/>
        <v>Pmax OK</v>
      </c>
      <c r="K21" s="8" t="str">
        <f t="shared" si="15"/>
        <v>Pmax OK</v>
      </c>
      <c r="L21" s="8" t="str">
        <f t="shared" si="15"/>
        <v>Pmax OK</v>
      </c>
      <c r="M21" s="8" t="str">
        <f t="shared" si="15"/>
        <v>Pmax OK</v>
      </c>
      <c r="N21" s="8" t="str">
        <f t="shared" si="15"/>
        <v>Pmax OK</v>
      </c>
      <c r="O21" s="8" t="str">
        <f t="shared" si="15"/>
        <v>Pmax OK</v>
      </c>
      <c r="P21" s="8" t="str">
        <f t="shared" si="15"/>
        <v>Pmax OK</v>
      </c>
      <c r="Q21" s="8" t="str">
        <f t="shared" si="15"/>
        <v>Pmax OK</v>
      </c>
      <c r="R21" s="8" t="str">
        <f t="shared" si="15"/>
        <v>Pmax OK</v>
      </c>
      <c r="S21" s="8" t="str">
        <f t="shared" si="15"/>
        <v>Pmax OK</v>
      </c>
      <c r="T21" s="8" t="str">
        <f t="shared" si="15"/>
        <v>Pmax OK</v>
      </c>
    </row>
    <row r="22" spans="1:20" ht="18" customHeight="1">
      <c r="A22" s="68" t="s">
        <v>29</v>
      </c>
      <c r="B22" s="69"/>
      <c r="C22" s="3" t="s">
        <v>27</v>
      </c>
      <c r="D22" s="10">
        <f>$X$42/D$20</f>
        <v>10.621878256037586</v>
      </c>
      <c r="E22" s="10">
        <f aca="true" t="shared" si="16" ref="E22:T22">$X$42/E$20</f>
        <v>8.605143598024933</v>
      </c>
      <c r="F22" s="10">
        <f t="shared" si="16"/>
        <v>7.259491350086625</v>
      </c>
      <c r="G22" s="10">
        <f t="shared" si="16"/>
        <v>6.297334009737987</v>
      </c>
      <c r="H22" s="10">
        <f t="shared" si="16"/>
        <v>5.574877394868508</v>
      </c>
      <c r="I22" s="10">
        <f t="shared" si="16"/>
        <v>5.012235477928092</v>
      </c>
      <c r="J22" s="10">
        <f t="shared" si="16"/>
        <v>4.561476319186398</v>
      </c>
      <c r="K22" s="10">
        <f t="shared" si="16"/>
        <v>4.192097490580833</v>
      </c>
      <c r="L22" s="10">
        <f t="shared" si="16"/>
        <v>3.8837637873242254</v>
      </c>
      <c r="M22" s="10">
        <f t="shared" si="16"/>
        <v>3.622396764645035</v>
      </c>
      <c r="N22" s="10">
        <f t="shared" si="16"/>
        <v>3.397940187105005</v>
      </c>
      <c r="O22" s="10">
        <f t="shared" si="16"/>
        <v>3.203019297968059</v>
      </c>
      <c r="P22" s="10">
        <f t="shared" si="16"/>
        <v>3.032102862356863</v>
      </c>
      <c r="Q22" s="10">
        <f t="shared" si="16"/>
        <v>2.880960959704188</v>
      </c>
      <c r="R22" s="10">
        <f t="shared" si="16"/>
        <v>2.7463035118915533</v>
      </c>
      <c r="S22" s="10">
        <f t="shared" si="16"/>
        <v>2.6255329602494184</v>
      </c>
      <c r="T22" s="10">
        <f t="shared" si="16"/>
        <v>2.516571139323227</v>
      </c>
    </row>
    <row r="23" spans="1:20" ht="18" customHeight="1">
      <c r="A23" s="70"/>
      <c r="B23" s="71"/>
      <c r="C23" s="3" t="s">
        <v>28</v>
      </c>
      <c r="D23" s="3">
        <f>D$4*D$22</f>
        <v>106.21878256037587</v>
      </c>
      <c r="E23" s="3">
        <f aca="true" t="shared" si="17" ref="E23:T23">E$4*E$22</f>
        <v>107.56429497531165</v>
      </c>
      <c r="F23" s="3">
        <f t="shared" si="17"/>
        <v>108.89237025129938</v>
      </c>
      <c r="G23" s="3">
        <f t="shared" si="17"/>
        <v>110.20334517041476</v>
      </c>
      <c r="H23" s="3">
        <f t="shared" si="17"/>
        <v>111.49754789737017</v>
      </c>
      <c r="I23" s="3">
        <f t="shared" si="17"/>
        <v>112.77529825338208</v>
      </c>
      <c r="J23" s="3">
        <f t="shared" si="17"/>
        <v>114.03690797965996</v>
      </c>
      <c r="K23" s="3">
        <f t="shared" si="17"/>
        <v>115.28268099097292</v>
      </c>
      <c r="L23" s="3">
        <f t="shared" si="17"/>
        <v>116.51291361972676</v>
      </c>
      <c r="M23" s="3">
        <f t="shared" si="17"/>
        <v>117.72789485096364</v>
      </c>
      <c r="N23" s="3">
        <f t="shared" si="17"/>
        <v>118.92790654867518</v>
      </c>
      <c r="O23" s="3">
        <f t="shared" si="17"/>
        <v>120.11322367380221</v>
      </c>
      <c r="P23" s="3">
        <f t="shared" si="17"/>
        <v>121.28411449427452</v>
      </c>
      <c r="Q23" s="3">
        <f t="shared" si="17"/>
        <v>122.44084078742799</v>
      </c>
      <c r="R23" s="3">
        <f t="shared" si="17"/>
        <v>123.5836580351199</v>
      </c>
      <c r="S23" s="3">
        <f t="shared" si="17"/>
        <v>124.71281561184738</v>
      </c>
      <c r="T23" s="3">
        <f t="shared" si="17"/>
        <v>125.82855696616136</v>
      </c>
    </row>
    <row r="24" spans="23:24" ht="9" customHeight="1">
      <c r="W24" s="2"/>
      <c r="X24" s="1" t="s">
        <v>1</v>
      </c>
    </row>
    <row r="25" spans="1:23" ht="18" customHeight="1">
      <c r="A25" s="3" t="s">
        <v>53</v>
      </c>
      <c r="B25" s="6">
        <v>0.08</v>
      </c>
      <c r="C25" s="3" t="s">
        <v>14</v>
      </c>
      <c r="D25" s="3">
        <f>$X$35*$X$36*$B$25*D$5</f>
        <v>305.20000000000005</v>
      </c>
      <c r="E25" s="3">
        <f aca="true" t="shared" si="18" ref="E25:T25">$X$35*$X$36*$B$25*E$5</f>
        <v>381.50000000000006</v>
      </c>
      <c r="F25" s="3">
        <f t="shared" si="18"/>
        <v>457.80000000000007</v>
      </c>
      <c r="G25" s="3">
        <f t="shared" si="18"/>
        <v>534.1</v>
      </c>
      <c r="H25" s="3">
        <f t="shared" si="18"/>
        <v>610.4000000000001</v>
      </c>
      <c r="I25" s="3">
        <f t="shared" si="18"/>
        <v>686.7</v>
      </c>
      <c r="J25" s="3">
        <f t="shared" si="18"/>
        <v>763.0000000000001</v>
      </c>
      <c r="K25" s="3">
        <f t="shared" si="18"/>
        <v>839.3000000000001</v>
      </c>
      <c r="L25" s="3">
        <f t="shared" si="18"/>
        <v>915.6000000000001</v>
      </c>
      <c r="M25" s="3">
        <f t="shared" si="18"/>
        <v>991.9</v>
      </c>
      <c r="N25" s="3">
        <f t="shared" si="18"/>
        <v>1068.2</v>
      </c>
      <c r="O25" s="3">
        <f t="shared" si="18"/>
        <v>1144.5</v>
      </c>
      <c r="P25" s="3">
        <f t="shared" si="18"/>
        <v>1220.8000000000002</v>
      </c>
      <c r="Q25" s="3">
        <f t="shared" si="18"/>
        <v>1297.1000000000001</v>
      </c>
      <c r="R25" s="3">
        <f t="shared" si="18"/>
        <v>1373.4</v>
      </c>
      <c r="S25" s="3">
        <f t="shared" si="18"/>
        <v>1449.7000000000003</v>
      </c>
      <c r="T25" s="3">
        <f t="shared" si="18"/>
        <v>1526.0000000000002</v>
      </c>
      <c r="W25" s="2"/>
    </row>
    <row r="26" spans="1:24" ht="18" customHeight="1">
      <c r="A26" s="3"/>
      <c r="B26" s="6"/>
      <c r="C26" s="3" t="s">
        <v>15</v>
      </c>
      <c r="D26" s="3">
        <f>0.5*$X$34*$X$26*$X$27*D$5*D$5</f>
        <v>4.629629629629629</v>
      </c>
      <c r="E26" s="3">
        <f aca="true" t="shared" si="19" ref="E26:T26">0.5*$X$34*$X$26*$X$27*E$5*E$5</f>
        <v>7.233796296296297</v>
      </c>
      <c r="F26" s="3">
        <f t="shared" si="19"/>
        <v>10.416666666666668</v>
      </c>
      <c r="G26" s="3">
        <f t="shared" si="19"/>
        <v>14.178240740740739</v>
      </c>
      <c r="H26" s="3">
        <f t="shared" si="19"/>
        <v>18.518518518518515</v>
      </c>
      <c r="I26" s="3">
        <f t="shared" si="19"/>
        <v>23.4375</v>
      </c>
      <c r="J26" s="3">
        <f t="shared" si="19"/>
        <v>28.935185185185187</v>
      </c>
      <c r="K26" s="3">
        <f t="shared" si="19"/>
        <v>35.01157407407407</v>
      </c>
      <c r="L26" s="3">
        <f t="shared" si="19"/>
        <v>41.66666666666667</v>
      </c>
      <c r="M26" s="3">
        <f t="shared" si="19"/>
        <v>48.900462962962955</v>
      </c>
      <c r="N26" s="3">
        <f t="shared" si="19"/>
        <v>56.712962962962955</v>
      </c>
      <c r="O26" s="3">
        <f t="shared" si="19"/>
        <v>65.10416666666666</v>
      </c>
      <c r="P26" s="3">
        <f t="shared" si="19"/>
        <v>74.07407407407406</v>
      </c>
      <c r="Q26" s="3">
        <f t="shared" si="19"/>
        <v>83.62268518518518</v>
      </c>
      <c r="R26" s="3">
        <f t="shared" si="19"/>
        <v>93.75</v>
      </c>
      <c r="S26" s="3">
        <f t="shared" si="19"/>
        <v>104.45601851851852</v>
      </c>
      <c r="T26" s="3">
        <f t="shared" si="19"/>
        <v>115.74074074074075</v>
      </c>
      <c r="W26" s="2" t="s">
        <v>2</v>
      </c>
      <c r="X26" s="1">
        <v>1.2</v>
      </c>
    </row>
    <row r="27" spans="1:24" ht="18" customHeight="1">
      <c r="A27" s="3"/>
      <c r="B27" s="6"/>
      <c r="C27" s="3" t="s">
        <v>16</v>
      </c>
      <c r="D27" s="3">
        <f>$X$37*$X$35*$X$36*D$5</f>
        <v>19.075000000000003</v>
      </c>
      <c r="E27" s="3">
        <f aca="true" t="shared" si="20" ref="E27:T27">$X$37*$X$35*$X$36*E$5</f>
        <v>23.843750000000004</v>
      </c>
      <c r="F27" s="3">
        <f t="shared" si="20"/>
        <v>28.612500000000004</v>
      </c>
      <c r="G27" s="3">
        <f t="shared" si="20"/>
        <v>33.38125</v>
      </c>
      <c r="H27" s="3">
        <f t="shared" si="20"/>
        <v>38.150000000000006</v>
      </c>
      <c r="I27" s="3">
        <f t="shared" si="20"/>
        <v>42.91875</v>
      </c>
      <c r="J27" s="3">
        <f t="shared" si="20"/>
        <v>47.68750000000001</v>
      </c>
      <c r="K27" s="3">
        <f t="shared" si="20"/>
        <v>52.456250000000004</v>
      </c>
      <c r="L27" s="3">
        <f t="shared" si="20"/>
        <v>57.22500000000001</v>
      </c>
      <c r="M27" s="3">
        <f t="shared" si="20"/>
        <v>61.99375</v>
      </c>
      <c r="N27" s="3">
        <f t="shared" si="20"/>
        <v>66.7625</v>
      </c>
      <c r="O27" s="3">
        <f t="shared" si="20"/>
        <v>71.53125</v>
      </c>
      <c r="P27" s="3">
        <f t="shared" si="20"/>
        <v>76.30000000000001</v>
      </c>
      <c r="Q27" s="3">
        <f t="shared" si="20"/>
        <v>81.06875000000001</v>
      </c>
      <c r="R27" s="3">
        <f t="shared" si="20"/>
        <v>85.8375</v>
      </c>
      <c r="S27" s="3">
        <f t="shared" si="20"/>
        <v>90.60625000000002</v>
      </c>
      <c r="T27" s="3">
        <f t="shared" si="20"/>
        <v>95.37500000000001</v>
      </c>
      <c r="W27" s="2" t="s">
        <v>3</v>
      </c>
      <c r="X27" s="1">
        <v>0.5</v>
      </c>
    </row>
    <row r="28" spans="1:23" ht="18" customHeight="1">
      <c r="A28" s="3"/>
      <c r="B28" s="6"/>
      <c r="C28" s="5" t="s">
        <v>17</v>
      </c>
      <c r="D28" s="11">
        <f aca="true" t="shared" si="21" ref="D28:T28">D25+D26+D27</f>
        <v>328.90462962962965</v>
      </c>
      <c r="E28" s="11">
        <f t="shared" si="21"/>
        <v>412.57754629629636</v>
      </c>
      <c r="F28" s="11">
        <f t="shared" si="21"/>
        <v>496.82916666666677</v>
      </c>
      <c r="G28" s="11">
        <f t="shared" si="21"/>
        <v>581.6594907407408</v>
      </c>
      <c r="H28" s="11">
        <f t="shared" si="21"/>
        <v>667.0685185185185</v>
      </c>
      <c r="I28" s="11">
        <f t="shared" si="21"/>
        <v>753.0562500000001</v>
      </c>
      <c r="J28" s="11">
        <f t="shared" si="21"/>
        <v>839.6226851851853</v>
      </c>
      <c r="K28" s="11">
        <f t="shared" si="21"/>
        <v>926.767824074074</v>
      </c>
      <c r="L28" s="11">
        <f t="shared" si="21"/>
        <v>1014.4916666666668</v>
      </c>
      <c r="M28" s="11">
        <f t="shared" si="21"/>
        <v>1102.794212962963</v>
      </c>
      <c r="N28" s="11">
        <f t="shared" si="21"/>
        <v>1191.6754629629631</v>
      </c>
      <c r="O28" s="11">
        <f t="shared" si="21"/>
        <v>1281.1354166666667</v>
      </c>
      <c r="P28" s="11">
        <f t="shared" si="21"/>
        <v>1371.1740740740743</v>
      </c>
      <c r="Q28" s="11">
        <f t="shared" si="21"/>
        <v>1461.7914351851853</v>
      </c>
      <c r="R28" s="11">
        <f t="shared" si="21"/>
        <v>1552.9875000000002</v>
      </c>
      <c r="S28" s="11">
        <f t="shared" si="21"/>
        <v>1644.7622685185188</v>
      </c>
      <c r="T28" s="11">
        <f t="shared" si="21"/>
        <v>1737.1157407407409</v>
      </c>
      <c r="W28" s="2"/>
    </row>
    <row r="29" spans="1:23" ht="18" customHeight="1">
      <c r="A29" s="19"/>
      <c r="B29" s="20"/>
      <c r="C29" s="11" t="s">
        <v>48</v>
      </c>
      <c r="D29" s="8">
        <f>D$28/(D$11*D$10)</f>
        <v>562.0240870698738</v>
      </c>
      <c r="E29" s="8">
        <f aca="true" t="shared" si="22" ref="E29:T29">E$28/(E$11*E$10)</f>
        <v>691.6429741310466</v>
      </c>
      <c r="F29" s="8">
        <f t="shared" si="22"/>
        <v>817.3929288015445</v>
      </c>
      <c r="G29" s="8">
        <f t="shared" si="22"/>
        <v>939.4858610083471</v>
      </c>
      <c r="H29" s="8">
        <f t="shared" si="22"/>
        <v>1058.1184824619872</v>
      </c>
      <c r="I29" s="8">
        <f t="shared" si="22"/>
        <v>1173.4736451801405</v>
      </c>
      <c r="J29" s="8">
        <f t="shared" si="22"/>
        <v>1285.7215409975443</v>
      </c>
      <c r="K29" s="8">
        <f t="shared" si="22"/>
        <v>1395.0207786192861</v>
      </c>
      <c r="L29" s="8">
        <f t="shared" si="22"/>
        <v>1501.519352558495</v>
      </c>
      <c r="M29" s="8">
        <f t="shared" si="22"/>
        <v>1605.3555164116117</v>
      </c>
      <c r="N29" s="8">
        <f t="shared" si="22"/>
        <v>1706.6585713116672</v>
      </c>
      <c r="O29" s="8">
        <f t="shared" si="22"/>
        <v>1805.5495790183934</v>
      </c>
      <c r="P29" s="8">
        <f t="shared" si="22"/>
        <v>1902.1420079174623</v>
      </c>
      <c r="Q29" s="8">
        <f t="shared" si="22"/>
        <v>1996.5423191794102</v>
      </c>
      <c r="R29" s="8">
        <f t="shared" si="22"/>
        <v>2088.8504994469245</v>
      </c>
      <c r="S29" s="8">
        <f t="shared" si="22"/>
        <v>2179.1605456561265</v>
      </c>
      <c r="T29" s="8">
        <f t="shared" si="22"/>
        <v>2267.560906935789</v>
      </c>
      <c r="W29" s="2"/>
    </row>
    <row r="30" spans="1:23" ht="18" customHeight="1">
      <c r="A30" s="19"/>
      <c r="B30" s="20"/>
      <c r="C30" s="11" t="s">
        <v>50</v>
      </c>
      <c r="D30" s="8" t="str">
        <f>IF(D$29&gt;1920,"défaut Pmax elec","Pmax OK")</f>
        <v>Pmax OK</v>
      </c>
      <c r="E30" s="8" t="str">
        <f aca="true" t="shared" si="23" ref="E30:T30">IF(E$29&gt;1920,"défaut Pmax elec","Pmax OK")</f>
        <v>Pmax OK</v>
      </c>
      <c r="F30" s="8" t="str">
        <f t="shared" si="23"/>
        <v>Pmax OK</v>
      </c>
      <c r="G30" s="8" t="str">
        <f t="shared" si="23"/>
        <v>Pmax OK</v>
      </c>
      <c r="H30" s="8" t="str">
        <f t="shared" si="23"/>
        <v>Pmax OK</v>
      </c>
      <c r="I30" s="8" t="str">
        <f t="shared" si="23"/>
        <v>Pmax OK</v>
      </c>
      <c r="J30" s="8" t="str">
        <f t="shared" si="23"/>
        <v>Pmax OK</v>
      </c>
      <c r="K30" s="8" t="str">
        <f t="shared" si="23"/>
        <v>Pmax OK</v>
      </c>
      <c r="L30" s="8" t="str">
        <f t="shared" si="23"/>
        <v>Pmax OK</v>
      </c>
      <c r="M30" s="8" t="str">
        <f t="shared" si="23"/>
        <v>Pmax OK</v>
      </c>
      <c r="N30" s="8" t="str">
        <f t="shared" si="23"/>
        <v>Pmax OK</v>
      </c>
      <c r="O30" s="8" t="str">
        <f t="shared" si="23"/>
        <v>Pmax OK</v>
      </c>
      <c r="P30" s="8" t="str">
        <f t="shared" si="23"/>
        <v>Pmax OK</v>
      </c>
      <c r="Q30" s="8" t="str">
        <f t="shared" si="23"/>
        <v>défaut Pmax elec</v>
      </c>
      <c r="R30" s="8" t="str">
        <f t="shared" si="23"/>
        <v>défaut Pmax elec</v>
      </c>
      <c r="S30" s="8" t="str">
        <f t="shared" si="23"/>
        <v>défaut Pmax elec</v>
      </c>
      <c r="T30" s="8" t="str">
        <f t="shared" si="23"/>
        <v>défaut Pmax elec</v>
      </c>
      <c r="W30" s="2"/>
    </row>
    <row r="31" spans="1:23" ht="18" customHeight="1">
      <c r="A31" s="68" t="s">
        <v>29</v>
      </c>
      <c r="B31" s="69"/>
      <c r="C31" s="3" t="s">
        <v>27</v>
      </c>
      <c r="D31" s="10">
        <f>$X$42/D$29</f>
        <v>5.693706148224496</v>
      </c>
      <c r="E31" s="10">
        <f aca="true" t="shared" si="24" ref="E31:T31">$X$42/E$29</f>
        <v>4.626664507104053</v>
      </c>
      <c r="F31" s="10">
        <f t="shared" si="24"/>
        <v>3.9148858367196993</v>
      </c>
      <c r="G31" s="10">
        <f t="shared" si="24"/>
        <v>3.4061183172735037</v>
      </c>
      <c r="H31" s="10">
        <f t="shared" si="24"/>
        <v>3.024235993453559</v>
      </c>
      <c r="I31" s="10">
        <f t="shared" si="24"/>
        <v>2.726946628195273</v>
      </c>
      <c r="J31" s="10">
        <f t="shared" si="24"/>
        <v>2.488874844172897</v>
      </c>
      <c r="K31" s="10">
        <f t="shared" si="24"/>
        <v>2.2938726426477904</v>
      </c>
      <c r="L31" s="10">
        <f t="shared" si="24"/>
        <v>2.1311746628822332</v>
      </c>
      <c r="M31" s="10">
        <f t="shared" si="24"/>
        <v>1.9933279371991288</v>
      </c>
      <c r="N31" s="10">
        <f t="shared" si="24"/>
        <v>1.8750088938648182</v>
      </c>
      <c r="O31" s="10">
        <f t="shared" si="24"/>
        <v>1.7723135588111154</v>
      </c>
      <c r="P31" s="10">
        <f t="shared" si="24"/>
        <v>1.682313931704543</v>
      </c>
      <c r="Q31" s="10">
        <f t="shared" si="24"/>
        <v>1.6027709351611528</v>
      </c>
      <c r="R31" s="10">
        <f t="shared" si="24"/>
        <v>1.5319430475504494</v>
      </c>
      <c r="S31" s="10">
        <f t="shared" si="24"/>
        <v>1.4684553675399383</v>
      </c>
      <c r="T31" s="10">
        <f t="shared" si="24"/>
        <v>1.4112079592711975</v>
      </c>
      <c r="W31" s="2"/>
    </row>
    <row r="32" spans="1:24" ht="18" customHeight="1">
      <c r="A32" s="70"/>
      <c r="B32" s="71"/>
      <c r="C32" s="3" t="s">
        <v>28</v>
      </c>
      <c r="D32" s="3">
        <f>D$4*D$31</f>
        <v>56.937061482244964</v>
      </c>
      <c r="E32" s="3">
        <f aca="true" t="shared" si="25" ref="E32:T32">E$4*E$31</f>
        <v>57.83330633880066</v>
      </c>
      <c r="F32" s="3">
        <f t="shared" si="25"/>
        <v>58.72328755079549</v>
      </c>
      <c r="G32" s="3">
        <f t="shared" si="25"/>
        <v>59.60707055228632</v>
      </c>
      <c r="H32" s="3">
        <f t="shared" si="25"/>
        <v>60.48471986907118</v>
      </c>
      <c r="I32" s="3">
        <f t="shared" si="25"/>
        <v>61.356299134393645</v>
      </c>
      <c r="J32" s="3">
        <f t="shared" si="25"/>
        <v>62.221871104322425</v>
      </c>
      <c r="K32" s="3">
        <f t="shared" si="25"/>
        <v>63.08149767281424</v>
      </c>
      <c r="L32" s="3">
        <f t="shared" si="25"/>
        <v>63.935239886466995</v>
      </c>
      <c r="M32" s="3">
        <f t="shared" si="25"/>
        <v>64.78315795897169</v>
      </c>
      <c r="N32" s="3">
        <f t="shared" si="25"/>
        <v>65.62531128526864</v>
      </c>
      <c r="O32" s="3">
        <f t="shared" si="25"/>
        <v>66.46175845541683</v>
      </c>
      <c r="P32" s="3">
        <f t="shared" si="25"/>
        <v>67.29255726818172</v>
      </c>
      <c r="Q32" s="3">
        <f t="shared" si="25"/>
        <v>68.11776474434899</v>
      </c>
      <c r="R32" s="3">
        <f t="shared" si="25"/>
        <v>68.93743713977022</v>
      </c>
      <c r="S32" s="3">
        <f t="shared" si="25"/>
        <v>69.75162995814708</v>
      </c>
      <c r="T32" s="3">
        <f t="shared" si="25"/>
        <v>70.56039796355988</v>
      </c>
      <c r="W32" s="2" t="s">
        <v>4</v>
      </c>
      <c r="X32" s="1">
        <v>3200</v>
      </c>
    </row>
    <row r="33" spans="23:24" ht="9" customHeight="1">
      <c r="W33" s="2" t="s">
        <v>5</v>
      </c>
      <c r="X33" s="1">
        <v>400</v>
      </c>
    </row>
    <row r="34" spans="1:24" ht="18" customHeight="1">
      <c r="A34" s="3" t="s">
        <v>54</v>
      </c>
      <c r="B34" s="6">
        <v>0.12</v>
      </c>
      <c r="C34" s="3" t="s">
        <v>14</v>
      </c>
      <c r="D34" s="3">
        <f>$X$36*$X$35*$B$34*D$5</f>
        <v>457.79999999999995</v>
      </c>
      <c r="E34" s="3">
        <f aca="true" t="shared" si="26" ref="E34:T34">$X$36*$X$35*$B$34*E$5</f>
        <v>572.25</v>
      </c>
      <c r="F34" s="3">
        <f t="shared" si="26"/>
        <v>686.7</v>
      </c>
      <c r="G34" s="3">
        <f t="shared" si="26"/>
        <v>801.1499999999999</v>
      </c>
      <c r="H34" s="3">
        <f t="shared" si="26"/>
        <v>915.5999999999999</v>
      </c>
      <c r="I34" s="3">
        <f t="shared" si="26"/>
        <v>1030.05</v>
      </c>
      <c r="J34" s="3">
        <f t="shared" si="26"/>
        <v>1144.5</v>
      </c>
      <c r="K34" s="3">
        <f t="shared" si="26"/>
        <v>1258.9499999999998</v>
      </c>
      <c r="L34" s="3">
        <f t="shared" si="26"/>
        <v>1373.4</v>
      </c>
      <c r="M34" s="3">
        <f t="shared" si="26"/>
        <v>1487.8499999999997</v>
      </c>
      <c r="N34" s="3">
        <f t="shared" si="26"/>
        <v>1602.2999999999997</v>
      </c>
      <c r="O34" s="3">
        <f t="shared" si="26"/>
        <v>1716.7499999999998</v>
      </c>
      <c r="P34" s="3">
        <f t="shared" si="26"/>
        <v>1831.1999999999998</v>
      </c>
      <c r="Q34" s="3">
        <f t="shared" si="26"/>
        <v>1945.6499999999999</v>
      </c>
      <c r="R34" s="3">
        <f t="shared" si="26"/>
        <v>2060.1</v>
      </c>
      <c r="S34" s="3">
        <f t="shared" si="26"/>
        <v>2174.5499999999997</v>
      </c>
      <c r="T34" s="3">
        <f t="shared" si="26"/>
        <v>2289</v>
      </c>
      <c r="W34" s="2" t="s">
        <v>6</v>
      </c>
      <c r="X34" s="1">
        <v>2</v>
      </c>
    </row>
    <row r="35" spans="1:24" ht="18" customHeight="1">
      <c r="A35" s="3"/>
      <c r="B35" s="6"/>
      <c r="C35" s="3" t="s">
        <v>15</v>
      </c>
      <c r="D35" s="3">
        <f>0.5*$X$34*$X$26*$X$27*D$5*D$5</f>
        <v>4.629629629629629</v>
      </c>
      <c r="E35" s="3">
        <f aca="true" t="shared" si="27" ref="E35:T35">0.5*$X$34*$X$26*$X$27*E$5*E$5</f>
        <v>7.233796296296297</v>
      </c>
      <c r="F35" s="3">
        <f t="shared" si="27"/>
        <v>10.416666666666668</v>
      </c>
      <c r="G35" s="3">
        <f t="shared" si="27"/>
        <v>14.178240740740739</v>
      </c>
      <c r="H35" s="3">
        <f t="shared" si="27"/>
        <v>18.518518518518515</v>
      </c>
      <c r="I35" s="3">
        <f t="shared" si="27"/>
        <v>23.4375</v>
      </c>
      <c r="J35" s="3">
        <f t="shared" si="27"/>
        <v>28.935185185185187</v>
      </c>
      <c r="K35" s="3">
        <f t="shared" si="27"/>
        <v>35.01157407407407</v>
      </c>
      <c r="L35" s="3">
        <f t="shared" si="27"/>
        <v>41.66666666666667</v>
      </c>
      <c r="M35" s="3">
        <f t="shared" si="27"/>
        <v>48.900462962962955</v>
      </c>
      <c r="N35" s="3">
        <f t="shared" si="27"/>
        <v>56.712962962962955</v>
      </c>
      <c r="O35" s="3">
        <f t="shared" si="27"/>
        <v>65.10416666666666</v>
      </c>
      <c r="P35" s="3">
        <f t="shared" si="27"/>
        <v>74.07407407407406</v>
      </c>
      <c r="Q35" s="3">
        <f t="shared" si="27"/>
        <v>83.62268518518518</v>
      </c>
      <c r="R35" s="3">
        <f t="shared" si="27"/>
        <v>93.75</v>
      </c>
      <c r="S35" s="3">
        <f t="shared" si="27"/>
        <v>104.45601851851852</v>
      </c>
      <c r="T35" s="3">
        <f t="shared" si="27"/>
        <v>115.74074074074075</v>
      </c>
      <c r="W35" s="2" t="s">
        <v>7</v>
      </c>
      <c r="X35" s="1">
        <v>140</v>
      </c>
    </row>
    <row r="36" spans="1:24" ht="18" customHeight="1">
      <c r="A36" s="3"/>
      <c r="B36" s="6"/>
      <c r="C36" s="3" t="s">
        <v>16</v>
      </c>
      <c r="D36" s="3">
        <f>$X$37*$X$35*$X$36*D$5</f>
        <v>19.075000000000003</v>
      </c>
      <c r="E36" s="3">
        <f aca="true" t="shared" si="28" ref="E36:T36">$X$37*$X$35*$X$36*E$5</f>
        <v>23.843750000000004</v>
      </c>
      <c r="F36" s="3">
        <f t="shared" si="28"/>
        <v>28.612500000000004</v>
      </c>
      <c r="G36" s="3">
        <f t="shared" si="28"/>
        <v>33.38125</v>
      </c>
      <c r="H36" s="3">
        <f t="shared" si="28"/>
        <v>38.150000000000006</v>
      </c>
      <c r="I36" s="3">
        <f t="shared" si="28"/>
        <v>42.91875</v>
      </c>
      <c r="J36" s="3">
        <f t="shared" si="28"/>
        <v>47.68750000000001</v>
      </c>
      <c r="K36" s="3">
        <f t="shared" si="28"/>
        <v>52.456250000000004</v>
      </c>
      <c r="L36" s="3">
        <f t="shared" si="28"/>
        <v>57.22500000000001</v>
      </c>
      <c r="M36" s="3">
        <f t="shared" si="28"/>
        <v>61.99375</v>
      </c>
      <c r="N36" s="3">
        <f t="shared" si="28"/>
        <v>66.7625</v>
      </c>
      <c r="O36" s="3">
        <f t="shared" si="28"/>
        <v>71.53125</v>
      </c>
      <c r="P36" s="3">
        <f t="shared" si="28"/>
        <v>76.30000000000001</v>
      </c>
      <c r="Q36" s="3">
        <f t="shared" si="28"/>
        <v>81.06875000000001</v>
      </c>
      <c r="R36" s="3">
        <f t="shared" si="28"/>
        <v>85.8375</v>
      </c>
      <c r="S36" s="3">
        <f t="shared" si="28"/>
        <v>90.60625000000002</v>
      </c>
      <c r="T36" s="3">
        <f t="shared" si="28"/>
        <v>95.37500000000001</v>
      </c>
      <c r="W36" s="2" t="s">
        <v>8</v>
      </c>
      <c r="X36" s="1">
        <v>9.81</v>
      </c>
    </row>
    <row r="37" spans="1:24" ht="18" customHeight="1">
      <c r="A37" s="3"/>
      <c r="B37" s="6"/>
      <c r="C37" s="5" t="s">
        <v>17</v>
      </c>
      <c r="D37" s="11">
        <f aca="true" t="shared" si="29" ref="D37:T37">D34+D35+D36</f>
        <v>481.50462962962956</v>
      </c>
      <c r="E37" s="11">
        <f t="shared" si="29"/>
        <v>603.3275462962963</v>
      </c>
      <c r="F37" s="11">
        <f t="shared" si="29"/>
        <v>725.7291666666666</v>
      </c>
      <c r="G37" s="11">
        <f t="shared" si="29"/>
        <v>848.7094907407406</v>
      </c>
      <c r="H37" s="11">
        <f t="shared" si="29"/>
        <v>972.2685185185184</v>
      </c>
      <c r="I37" s="11">
        <f t="shared" si="29"/>
        <v>1096.40625</v>
      </c>
      <c r="J37" s="11">
        <f t="shared" si="29"/>
        <v>1221.1226851851852</v>
      </c>
      <c r="K37" s="11">
        <f t="shared" si="29"/>
        <v>1346.417824074074</v>
      </c>
      <c r="L37" s="11">
        <f t="shared" si="29"/>
        <v>1472.2916666666667</v>
      </c>
      <c r="M37" s="11">
        <f t="shared" si="29"/>
        <v>1598.7442129629628</v>
      </c>
      <c r="N37" s="11">
        <f t="shared" si="29"/>
        <v>1725.7754629629628</v>
      </c>
      <c r="O37" s="11">
        <f t="shared" si="29"/>
        <v>1853.3854166666665</v>
      </c>
      <c r="P37" s="11">
        <f t="shared" si="29"/>
        <v>1981.574074074074</v>
      </c>
      <c r="Q37" s="11">
        <f t="shared" si="29"/>
        <v>2110.341435185185</v>
      </c>
      <c r="R37" s="11">
        <f t="shared" si="29"/>
        <v>2239.6875</v>
      </c>
      <c r="S37" s="11">
        <f t="shared" si="29"/>
        <v>2369.6122685185182</v>
      </c>
      <c r="T37" s="11">
        <f t="shared" si="29"/>
        <v>2500.115740740741</v>
      </c>
      <c r="W37" s="2" t="s">
        <v>9</v>
      </c>
      <c r="X37" s="1">
        <v>0.005</v>
      </c>
    </row>
    <row r="38" spans="1:23" ht="18" customHeight="1">
      <c r="A38" s="19"/>
      <c r="B38" s="20"/>
      <c r="C38" s="11" t="s">
        <v>48</v>
      </c>
      <c r="D38" s="8">
        <f>D$37/(D$11*D$10)</f>
        <v>822.7831885256367</v>
      </c>
      <c r="E38" s="8">
        <f aca="true" t="shared" si="30" ref="E38:T38">E$37/(E$11*E$10)</f>
        <v>1011.4153381383445</v>
      </c>
      <c r="F38" s="8">
        <f t="shared" si="30"/>
        <v>1193.9836242673032</v>
      </c>
      <c r="G38" s="8">
        <f t="shared" si="30"/>
        <v>1370.820178037666</v>
      </c>
      <c r="H38" s="8">
        <f t="shared" si="30"/>
        <v>1542.2333100731078</v>
      </c>
      <c r="I38" s="8">
        <f t="shared" si="30"/>
        <v>1708.509608393514</v>
      </c>
      <c r="J38" s="8">
        <f t="shared" si="30"/>
        <v>1869.9158184334601</v>
      </c>
      <c r="K38" s="8">
        <f t="shared" si="30"/>
        <v>2026.700531131704</v>
      </c>
      <c r="L38" s="8">
        <f t="shared" si="30"/>
        <v>2179.095701568701</v>
      </c>
      <c r="M38" s="8">
        <f t="shared" si="30"/>
        <v>2327.3180176702917</v>
      </c>
      <c r="N38" s="8">
        <f t="shared" si="30"/>
        <v>2471.5701359680006</v>
      </c>
      <c r="O38" s="8">
        <f t="shared" si="30"/>
        <v>2612.0417992409693</v>
      </c>
      <c r="P38" s="8">
        <f t="shared" si="30"/>
        <v>2748.910849004881</v>
      </c>
      <c r="Q38" s="8">
        <f t="shared" si="30"/>
        <v>2882.3441442118365</v>
      </c>
      <c r="R38" s="8">
        <f t="shared" si="30"/>
        <v>3012.49839614294</v>
      </c>
      <c r="S38" s="8">
        <f t="shared" si="30"/>
        <v>3139.5209282794453</v>
      </c>
      <c r="T38" s="8">
        <f t="shared" si="30"/>
        <v>3263.550368901194</v>
      </c>
      <c r="W38" s="2"/>
    </row>
    <row r="39" spans="1:23" ht="18" customHeight="1">
      <c r="A39" s="19"/>
      <c r="B39" s="20"/>
      <c r="C39" s="11" t="s">
        <v>50</v>
      </c>
      <c r="D39" s="8" t="str">
        <f>IF(D$38&gt;1920,"défaut Pmax elec","Pmax OK")</f>
        <v>Pmax OK</v>
      </c>
      <c r="E39" s="8" t="str">
        <f aca="true" t="shared" si="31" ref="E39:T39">IF(E$38&gt;1920,"défaut Pmax elec","Pmax OK")</f>
        <v>Pmax OK</v>
      </c>
      <c r="F39" s="8" t="str">
        <f t="shared" si="31"/>
        <v>Pmax OK</v>
      </c>
      <c r="G39" s="8" t="str">
        <f t="shared" si="31"/>
        <v>Pmax OK</v>
      </c>
      <c r="H39" s="8" t="str">
        <f t="shared" si="31"/>
        <v>Pmax OK</v>
      </c>
      <c r="I39" s="8" t="str">
        <f t="shared" si="31"/>
        <v>Pmax OK</v>
      </c>
      <c r="J39" s="8" t="str">
        <f t="shared" si="31"/>
        <v>Pmax OK</v>
      </c>
      <c r="K39" s="8" t="str">
        <f t="shared" si="31"/>
        <v>défaut Pmax elec</v>
      </c>
      <c r="L39" s="8" t="str">
        <f t="shared" si="31"/>
        <v>défaut Pmax elec</v>
      </c>
      <c r="M39" s="8" t="str">
        <f t="shared" si="31"/>
        <v>défaut Pmax elec</v>
      </c>
      <c r="N39" s="8" t="str">
        <f t="shared" si="31"/>
        <v>défaut Pmax elec</v>
      </c>
      <c r="O39" s="8" t="str">
        <f t="shared" si="31"/>
        <v>défaut Pmax elec</v>
      </c>
      <c r="P39" s="8" t="str">
        <f t="shared" si="31"/>
        <v>défaut Pmax elec</v>
      </c>
      <c r="Q39" s="8" t="str">
        <f t="shared" si="31"/>
        <v>défaut Pmax elec</v>
      </c>
      <c r="R39" s="8" t="str">
        <f t="shared" si="31"/>
        <v>défaut Pmax elec</v>
      </c>
      <c r="S39" s="8" t="str">
        <f t="shared" si="31"/>
        <v>défaut Pmax elec</v>
      </c>
      <c r="T39" s="8" t="str">
        <f t="shared" si="31"/>
        <v>défaut Pmax elec</v>
      </c>
      <c r="W39" s="2"/>
    </row>
    <row r="40" spans="1:24" ht="18" customHeight="1">
      <c r="A40" s="68" t="s">
        <v>29</v>
      </c>
      <c r="B40" s="69"/>
      <c r="C40" s="3" t="s">
        <v>27</v>
      </c>
      <c r="D40" s="10">
        <f>$X$42/D$38</f>
        <v>3.8892384344096174</v>
      </c>
      <c r="E40" s="10">
        <f aca="true" t="shared" si="32" ref="E40:T40">$X$42/E$38</f>
        <v>3.163883203402927</v>
      </c>
      <c r="F40" s="10">
        <f t="shared" si="32"/>
        <v>2.6801037593490475</v>
      </c>
      <c r="G40" s="10">
        <f t="shared" si="32"/>
        <v>2.334368906489844</v>
      </c>
      <c r="H40" s="10">
        <f t="shared" si="32"/>
        <v>2.0749130362437236</v>
      </c>
      <c r="I40" s="10">
        <f t="shared" si="32"/>
        <v>1.8729774677760882</v>
      </c>
      <c r="J40" s="10">
        <f t="shared" si="32"/>
        <v>1.7113069842260764</v>
      </c>
      <c r="K40" s="10">
        <f t="shared" si="32"/>
        <v>1.5789209855356028</v>
      </c>
      <c r="L40" s="10">
        <f t="shared" si="32"/>
        <v>1.4684990648627154</v>
      </c>
      <c r="M40" s="10">
        <f t="shared" si="32"/>
        <v>1.374973242033887</v>
      </c>
      <c r="N40" s="10">
        <f t="shared" si="32"/>
        <v>1.2947235255157779</v>
      </c>
      <c r="O40" s="10">
        <f t="shared" si="32"/>
        <v>1.2250952495974163</v>
      </c>
      <c r="P40" s="10">
        <f t="shared" si="32"/>
        <v>1.1640974101282386</v>
      </c>
      <c r="Q40" s="10">
        <f t="shared" si="32"/>
        <v>1.1102074699948867</v>
      </c>
      <c r="R40" s="10">
        <f t="shared" si="32"/>
        <v>1.0622412294383718</v>
      </c>
      <c r="S40" s="10">
        <f t="shared" si="32"/>
        <v>1.0192637899546346</v>
      </c>
      <c r="T40" s="10">
        <f t="shared" si="32"/>
        <v>0.9805272290243247</v>
      </c>
      <c r="W40" s="2" t="s">
        <v>10</v>
      </c>
      <c r="X40" s="1">
        <v>0.33</v>
      </c>
    </row>
    <row r="41" spans="1:23" ht="18" customHeight="1">
      <c r="A41" s="70"/>
      <c r="B41" s="71"/>
      <c r="C41" s="3" t="s">
        <v>28</v>
      </c>
      <c r="D41" s="3">
        <f>D$4*D$40</f>
        <v>38.89238434409617</v>
      </c>
      <c r="E41" s="3">
        <f aca="true" t="shared" si="33" ref="E41:T41">E$4*E$40</f>
        <v>39.54854004253659</v>
      </c>
      <c r="F41" s="3">
        <f t="shared" si="33"/>
        <v>40.201556390235716</v>
      </c>
      <c r="G41" s="3">
        <f t="shared" si="33"/>
        <v>40.85145586357227</v>
      </c>
      <c r="H41" s="3">
        <f t="shared" si="33"/>
        <v>41.49826072487447</v>
      </c>
      <c r="I41" s="3">
        <f t="shared" si="33"/>
        <v>42.141993024961984</v>
      </c>
      <c r="J41" s="3">
        <f t="shared" si="33"/>
        <v>42.78267460565191</v>
      </c>
      <c r="K41" s="3">
        <f t="shared" si="33"/>
        <v>43.42032710222907</v>
      </c>
      <c r="L41" s="3">
        <f t="shared" si="33"/>
        <v>44.05497194588146</v>
      </c>
      <c r="M41" s="3">
        <f t="shared" si="33"/>
        <v>44.686630366101326</v>
      </c>
      <c r="N41" s="3">
        <f t="shared" si="33"/>
        <v>45.315323393052225</v>
      </c>
      <c r="O41" s="3">
        <f t="shared" si="33"/>
        <v>45.94107185990311</v>
      </c>
      <c r="P41" s="3">
        <f t="shared" si="33"/>
        <v>46.56389640512955</v>
      </c>
      <c r="Q41" s="3">
        <f t="shared" si="33"/>
        <v>47.183817474782686</v>
      </c>
      <c r="R41" s="3">
        <f t="shared" si="33"/>
        <v>47.80085532472673</v>
      </c>
      <c r="S41" s="3">
        <f t="shared" si="33"/>
        <v>48.415030022845144</v>
      </c>
      <c r="T41" s="3">
        <f t="shared" si="33"/>
        <v>49.02636145121623</v>
      </c>
      <c r="W41" s="2"/>
    </row>
    <row r="42" spans="23:24" ht="9" customHeight="1">
      <c r="W42" s="2" t="s">
        <v>23</v>
      </c>
      <c r="X42" s="1">
        <f>X32</f>
        <v>3200</v>
      </c>
    </row>
    <row r="43" spans="1:24" ht="18" customHeight="1">
      <c r="A43" s="3" t="s">
        <v>55</v>
      </c>
      <c r="B43" s="6">
        <v>0.14</v>
      </c>
      <c r="C43" s="3" t="s">
        <v>14</v>
      </c>
      <c r="D43" s="3">
        <f>$X$36*$X$35*$B$43*D$5</f>
        <v>534.1000000000001</v>
      </c>
      <c r="E43" s="3">
        <f aca="true" t="shared" si="34" ref="E43:T43">$X$36*$X$35*$B$43*E$5</f>
        <v>667.6250000000001</v>
      </c>
      <c r="F43" s="3">
        <f t="shared" si="34"/>
        <v>801.1500000000002</v>
      </c>
      <c r="G43" s="3">
        <f t="shared" si="34"/>
        <v>934.6750000000001</v>
      </c>
      <c r="H43" s="3">
        <f t="shared" si="34"/>
        <v>1068.2000000000003</v>
      </c>
      <c r="I43" s="3">
        <f t="shared" si="34"/>
        <v>1201.7250000000001</v>
      </c>
      <c r="J43" s="3">
        <f t="shared" si="34"/>
        <v>1335.2500000000002</v>
      </c>
      <c r="K43" s="3">
        <f t="shared" si="34"/>
        <v>1468.775</v>
      </c>
      <c r="L43" s="3">
        <f t="shared" si="34"/>
        <v>1602.3000000000004</v>
      </c>
      <c r="M43" s="3">
        <f t="shared" si="34"/>
        <v>1735.8250000000003</v>
      </c>
      <c r="N43" s="3">
        <f t="shared" si="34"/>
        <v>1869.3500000000001</v>
      </c>
      <c r="O43" s="3">
        <f t="shared" si="34"/>
        <v>2002.8750000000002</v>
      </c>
      <c r="P43" s="3">
        <f t="shared" si="34"/>
        <v>2136.4000000000005</v>
      </c>
      <c r="Q43" s="3">
        <f t="shared" si="34"/>
        <v>2269.9250000000006</v>
      </c>
      <c r="R43" s="3">
        <f t="shared" si="34"/>
        <v>2403.4500000000003</v>
      </c>
      <c r="S43" s="3">
        <f t="shared" si="34"/>
        <v>2536.9750000000004</v>
      </c>
      <c r="T43" s="3">
        <f t="shared" si="34"/>
        <v>2670.5000000000005</v>
      </c>
      <c r="W43" s="2" t="s">
        <v>24</v>
      </c>
      <c r="X43" s="1">
        <f>X42/60</f>
        <v>53.333333333333336</v>
      </c>
    </row>
    <row r="44" spans="1:24" ht="18" customHeight="1">
      <c r="A44" s="3"/>
      <c r="B44" s="6"/>
      <c r="C44" s="3" t="s">
        <v>15</v>
      </c>
      <c r="D44" s="3">
        <f>0.5*$X$34*$X$26*$X$27*D$5*D$5</f>
        <v>4.629629629629629</v>
      </c>
      <c r="E44" s="3">
        <f aca="true" t="shared" si="35" ref="E44:T44">0.5*$X$34*$X$26*$X$27*E$5*E$5</f>
        <v>7.233796296296297</v>
      </c>
      <c r="F44" s="3">
        <f t="shared" si="35"/>
        <v>10.416666666666668</v>
      </c>
      <c r="G44" s="3">
        <f t="shared" si="35"/>
        <v>14.178240740740739</v>
      </c>
      <c r="H44" s="3">
        <f t="shared" si="35"/>
        <v>18.518518518518515</v>
      </c>
      <c r="I44" s="3">
        <f t="shared" si="35"/>
        <v>23.4375</v>
      </c>
      <c r="J44" s="3">
        <f t="shared" si="35"/>
        <v>28.935185185185187</v>
      </c>
      <c r="K44" s="3">
        <f t="shared" si="35"/>
        <v>35.01157407407407</v>
      </c>
      <c r="L44" s="3">
        <f t="shared" si="35"/>
        <v>41.66666666666667</v>
      </c>
      <c r="M44" s="3">
        <f t="shared" si="35"/>
        <v>48.900462962962955</v>
      </c>
      <c r="N44" s="3">
        <f t="shared" si="35"/>
        <v>56.712962962962955</v>
      </c>
      <c r="O44" s="3">
        <f t="shared" si="35"/>
        <v>65.10416666666666</v>
      </c>
      <c r="P44" s="3">
        <f t="shared" si="35"/>
        <v>74.07407407407406</v>
      </c>
      <c r="Q44" s="3">
        <f t="shared" si="35"/>
        <v>83.62268518518518</v>
      </c>
      <c r="R44" s="3">
        <f t="shared" si="35"/>
        <v>93.75</v>
      </c>
      <c r="S44" s="3">
        <f t="shared" si="35"/>
        <v>104.45601851851852</v>
      </c>
      <c r="T44" s="3">
        <f t="shared" si="35"/>
        <v>115.74074074074075</v>
      </c>
      <c r="W44" s="2" t="s">
        <v>25</v>
      </c>
      <c r="X44" s="1">
        <f>X43/60</f>
        <v>0.888888888888889</v>
      </c>
    </row>
    <row r="45" spans="1:23" ht="18" customHeight="1">
      <c r="A45" s="3"/>
      <c r="B45" s="6"/>
      <c r="C45" s="3" t="s">
        <v>16</v>
      </c>
      <c r="D45" s="3">
        <f>$X$37*$X$35*$X$36*D$5</f>
        <v>19.075000000000003</v>
      </c>
      <c r="E45" s="3">
        <f aca="true" t="shared" si="36" ref="E45:T45">$X$37*$X$35*$X$36*E$5</f>
        <v>23.843750000000004</v>
      </c>
      <c r="F45" s="3">
        <f t="shared" si="36"/>
        <v>28.612500000000004</v>
      </c>
      <c r="G45" s="3">
        <f t="shared" si="36"/>
        <v>33.38125</v>
      </c>
      <c r="H45" s="3">
        <f t="shared" si="36"/>
        <v>38.150000000000006</v>
      </c>
      <c r="I45" s="3">
        <f t="shared" si="36"/>
        <v>42.91875</v>
      </c>
      <c r="J45" s="3">
        <f t="shared" si="36"/>
        <v>47.68750000000001</v>
      </c>
      <c r="K45" s="3">
        <f t="shared" si="36"/>
        <v>52.456250000000004</v>
      </c>
      <c r="L45" s="3">
        <f t="shared" si="36"/>
        <v>57.22500000000001</v>
      </c>
      <c r="M45" s="3">
        <f t="shared" si="36"/>
        <v>61.99375</v>
      </c>
      <c r="N45" s="3">
        <f t="shared" si="36"/>
        <v>66.7625</v>
      </c>
      <c r="O45" s="3">
        <f t="shared" si="36"/>
        <v>71.53125</v>
      </c>
      <c r="P45" s="3">
        <f t="shared" si="36"/>
        <v>76.30000000000001</v>
      </c>
      <c r="Q45" s="3">
        <f t="shared" si="36"/>
        <v>81.06875000000001</v>
      </c>
      <c r="R45" s="3">
        <f t="shared" si="36"/>
        <v>85.8375</v>
      </c>
      <c r="S45" s="3">
        <f t="shared" si="36"/>
        <v>90.60625000000002</v>
      </c>
      <c r="T45" s="3">
        <f t="shared" si="36"/>
        <v>95.37500000000001</v>
      </c>
      <c r="W45" s="2"/>
    </row>
    <row r="46" spans="1:24" ht="18" customHeight="1">
      <c r="A46" s="3"/>
      <c r="B46" s="6"/>
      <c r="C46" s="5" t="s">
        <v>17</v>
      </c>
      <c r="D46" s="11">
        <f aca="true" t="shared" si="37" ref="D46:T46">D43+D44+D45</f>
        <v>557.8046296296299</v>
      </c>
      <c r="E46" s="11">
        <f t="shared" si="37"/>
        <v>698.7025462962964</v>
      </c>
      <c r="F46" s="11">
        <f t="shared" si="37"/>
        <v>840.1791666666668</v>
      </c>
      <c r="G46" s="11">
        <f t="shared" si="37"/>
        <v>982.2344907407409</v>
      </c>
      <c r="H46" s="11">
        <f t="shared" si="37"/>
        <v>1124.8685185185188</v>
      </c>
      <c r="I46" s="11">
        <f t="shared" si="37"/>
        <v>1268.0812500000002</v>
      </c>
      <c r="J46" s="11">
        <f t="shared" si="37"/>
        <v>1411.8726851851854</v>
      </c>
      <c r="K46" s="11">
        <f t="shared" si="37"/>
        <v>1556.2428240740742</v>
      </c>
      <c r="L46" s="11">
        <f t="shared" si="37"/>
        <v>1701.191666666667</v>
      </c>
      <c r="M46" s="11">
        <f t="shared" si="37"/>
        <v>1846.7192129629634</v>
      </c>
      <c r="N46" s="11">
        <f t="shared" si="37"/>
        <v>1992.8254629629632</v>
      </c>
      <c r="O46" s="11">
        <f t="shared" si="37"/>
        <v>2139.510416666667</v>
      </c>
      <c r="P46" s="11">
        <f t="shared" si="37"/>
        <v>2286.7740740740746</v>
      </c>
      <c r="Q46" s="11">
        <f t="shared" si="37"/>
        <v>2434.6164351851858</v>
      </c>
      <c r="R46" s="11">
        <f t="shared" si="37"/>
        <v>2583.0375000000004</v>
      </c>
      <c r="S46" s="11">
        <f t="shared" si="37"/>
        <v>2732.037268518519</v>
      </c>
      <c r="T46" s="11">
        <f t="shared" si="37"/>
        <v>2881.6157407407413</v>
      </c>
      <c r="W46" s="2" t="s">
        <v>31</v>
      </c>
      <c r="X46" s="1">
        <v>0.85</v>
      </c>
    </row>
    <row r="47" spans="1:23" ht="18" customHeight="1">
      <c r="A47" s="19"/>
      <c r="B47" s="20"/>
      <c r="C47" s="11" t="s">
        <v>48</v>
      </c>
      <c r="D47" s="8">
        <f>D$46/(D$11*D$10)</f>
        <v>953.1627392535186</v>
      </c>
      <c r="E47" s="8">
        <f aca="true" t="shared" si="38" ref="E47:T47">E$46/(E$11*E$10)</f>
        <v>1171.3015201419937</v>
      </c>
      <c r="F47" s="8">
        <f t="shared" si="38"/>
        <v>1382.278972000183</v>
      </c>
      <c r="G47" s="8">
        <f t="shared" si="38"/>
        <v>1586.487336552326</v>
      </c>
      <c r="H47" s="8">
        <f t="shared" si="38"/>
        <v>1784.290723878669</v>
      </c>
      <c r="I47" s="8">
        <f t="shared" si="38"/>
        <v>1976.0275900002011</v>
      </c>
      <c r="J47" s="8">
        <f t="shared" si="38"/>
        <v>2162.0129571514185</v>
      </c>
      <c r="K47" s="8">
        <f t="shared" si="38"/>
        <v>2342.5404073879135</v>
      </c>
      <c r="L47" s="8">
        <f t="shared" si="38"/>
        <v>2517.8838760738045</v>
      </c>
      <c r="M47" s="8">
        <f t="shared" si="38"/>
        <v>2688.2992682996332</v>
      </c>
      <c r="N47" s="8">
        <f t="shared" si="38"/>
        <v>2854.025918296168</v>
      </c>
      <c r="O47" s="8">
        <f t="shared" si="38"/>
        <v>3015.2879093522583</v>
      </c>
      <c r="P47" s="8">
        <f t="shared" si="38"/>
        <v>3172.2952695485915</v>
      </c>
      <c r="Q47" s="8">
        <f t="shared" si="38"/>
        <v>3325.2450567280503</v>
      </c>
      <c r="R47" s="8">
        <f t="shared" si="38"/>
        <v>3474.3223444909477</v>
      </c>
      <c r="S47" s="8">
        <f t="shared" si="38"/>
        <v>3619.7011195911055</v>
      </c>
      <c r="T47" s="8">
        <f t="shared" si="38"/>
        <v>3761.5450998838974</v>
      </c>
      <c r="W47" s="2"/>
    </row>
    <row r="48" spans="1:23" ht="18" customHeight="1">
      <c r="A48" s="19"/>
      <c r="B48" s="20"/>
      <c r="C48" s="11" t="s">
        <v>50</v>
      </c>
      <c r="D48" s="8" t="str">
        <f>IF(D$47&gt;1920,"défaut Pmax elec","Pmax OK")</f>
        <v>Pmax OK</v>
      </c>
      <c r="E48" s="8" t="str">
        <f aca="true" t="shared" si="39" ref="E48:T48">IF(E$47&gt;1920,"défaut Pmax elec","Pmax OK")</f>
        <v>Pmax OK</v>
      </c>
      <c r="F48" s="8" t="str">
        <f t="shared" si="39"/>
        <v>Pmax OK</v>
      </c>
      <c r="G48" s="8" t="str">
        <f t="shared" si="39"/>
        <v>Pmax OK</v>
      </c>
      <c r="H48" s="8" t="str">
        <f t="shared" si="39"/>
        <v>Pmax OK</v>
      </c>
      <c r="I48" s="8" t="str">
        <f t="shared" si="39"/>
        <v>défaut Pmax elec</v>
      </c>
      <c r="J48" s="8" t="str">
        <f t="shared" si="39"/>
        <v>défaut Pmax elec</v>
      </c>
      <c r="K48" s="8" t="str">
        <f t="shared" si="39"/>
        <v>défaut Pmax elec</v>
      </c>
      <c r="L48" s="8" t="str">
        <f t="shared" si="39"/>
        <v>défaut Pmax elec</v>
      </c>
      <c r="M48" s="8" t="str">
        <f t="shared" si="39"/>
        <v>défaut Pmax elec</v>
      </c>
      <c r="N48" s="8" t="str">
        <f t="shared" si="39"/>
        <v>défaut Pmax elec</v>
      </c>
      <c r="O48" s="8" t="str">
        <f t="shared" si="39"/>
        <v>défaut Pmax elec</v>
      </c>
      <c r="P48" s="8" t="str">
        <f t="shared" si="39"/>
        <v>défaut Pmax elec</v>
      </c>
      <c r="Q48" s="8" t="str">
        <f t="shared" si="39"/>
        <v>défaut Pmax elec</v>
      </c>
      <c r="R48" s="8" t="str">
        <f t="shared" si="39"/>
        <v>défaut Pmax elec</v>
      </c>
      <c r="S48" s="8" t="str">
        <f t="shared" si="39"/>
        <v>défaut Pmax elec</v>
      </c>
      <c r="T48" s="8" t="str">
        <f t="shared" si="39"/>
        <v>défaut Pmax elec</v>
      </c>
      <c r="W48" s="2"/>
    </row>
    <row r="49" spans="1:24" ht="18" customHeight="1">
      <c r="A49" s="68" t="s">
        <v>29</v>
      </c>
      <c r="B49" s="69"/>
      <c r="C49" s="3" t="s">
        <v>27</v>
      </c>
      <c r="D49" s="10">
        <f aca="true" t="shared" si="40" ref="D49:T49">$X$42/D$47</f>
        <v>3.3572441181514505</v>
      </c>
      <c r="E49" s="10">
        <f t="shared" si="40"/>
        <v>2.7320036258572196</v>
      </c>
      <c r="F49" s="10">
        <f t="shared" si="40"/>
        <v>2.315017492720403</v>
      </c>
      <c r="G49" s="10">
        <f t="shared" si="40"/>
        <v>2.0170346943670396</v>
      </c>
      <c r="H49" s="10">
        <f t="shared" si="40"/>
        <v>1.7934297125324283</v>
      </c>
      <c r="I49" s="10">
        <f t="shared" si="40"/>
        <v>1.619410587278123</v>
      </c>
      <c r="J49" s="10">
        <f t="shared" si="40"/>
        <v>1.480102137878115</v>
      </c>
      <c r="K49" s="10">
        <f t="shared" si="40"/>
        <v>1.366038335948369</v>
      </c>
      <c r="L49" s="10">
        <f t="shared" si="40"/>
        <v>1.2709084920110911</v>
      </c>
      <c r="M49" s="10">
        <f t="shared" si="40"/>
        <v>1.1903436636442715</v>
      </c>
      <c r="N49" s="10">
        <f t="shared" si="40"/>
        <v>1.1212231744238594</v>
      </c>
      <c r="O49" s="10">
        <f t="shared" si="40"/>
        <v>1.0612585252886917</v>
      </c>
      <c r="P49" s="10">
        <f t="shared" si="40"/>
        <v>1.0087333391432225</v>
      </c>
      <c r="Q49" s="10">
        <f t="shared" si="40"/>
        <v>0.9623350897177821</v>
      </c>
      <c r="R49" s="10">
        <f t="shared" si="40"/>
        <v>0.9210429208084487</v>
      </c>
      <c r="S49" s="10">
        <f t="shared" si="40"/>
        <v>0.8840508910198319</v>
      </c>
      <c r="T49" s="10">
        <f t="shared" si="40"/>
        <v>0.8507142450847579</v>
      </c>
      <c r="W49" s="2" t="s">
        <v>32</v>
      </c>
      <c r="X49" s="1">
        <v>0.8</v>
      </c>
    </row>
    <row r="50" spans="1:25" ht="18" customHeight="1">
      <c r="A50" s="70"/>
      <c r="B50" s="71"/>
      <c r="C50" s="3" t="s">
        <v>28</v>
      </c>
      <c r="D50" s="3">
        <f>D$4*D$49</f>
        <v>33.572441181514506</v>
      </c>
      <c r="E50" s="3">
        <f aca="true" t="shared" si="41" ref="E50:T50">E$4*E$49</f>
        <v>34.150045323215245</v>
      </c>
      <c r="F50" s="3">
        <f t="shared" si="41"/>
        <v>34.725262390806044</v>
      </c>
      <c r="G50" s="3">
        <f t="shared" si="41"/>
        <v>35.298107151423196</v>
      </c>
      <c r="H50" s="3">
        <f t="shared" si="41"/>
        <v>35.86859425064857</v>
      </c>
      <c r="I50" s="3">
        <f t="shared" si="41"/>
        <v>36.43673821375777</v>
      </c>
      <c r="J50" s="3">
        <f t="shared" si="41"/>
        <v>37.002553446952874</v>
      </c>
      <c r="K50" s="3">
        <f t="shared" si="41"/>
        <v>37.56605423858015</v>
      </c>
      <c r="L50" s="3">
        <f t="shared" si="41"/>
        <v>38.12725476033273</v>
      </c>
      <c r="M50" s="3">
        <f t="shared" si="41"/>
        <v>38.68616906843882</v>
      </c>
      <c r="N50" s="3">
        <f t="shared" si="41"/>
        <v>39.24281110483508</v>
      </c>
      <c r="O50" s="3">
        <f t="shared" si="41"/>
        <v>39.79719469832594</v>
      </c>
      <c r="P50" s="3">
        <f t="shared" si="41"/>
        <v>40.3493335657289</v>
      </c>
      <c r="Q50" s="3">
        <f t="shared" si="41"/>
        <v>40.89924131300574</v>
      </c>
      <c r="R50" s="3">
        <f t="shared" si="41"/>
        <v>41.44693143638019</v>
      </c>
      <c r="S50" s="3">
        <f t="shared" si="41"/>
        <v>41.99241732344202</v>
      </c>
      <c r="T50" s="3">
        <f t="shared" si="41"/>
        <v>42.53571225423789</v>
      </c>
      <c r="W50" s="2" t="s">
        <v>33</v>
      </c>
      <c r="X50" s="1">
        <v>0.9</v>
      </c>
      <c r="Y50" s="1">
        <f>X46*X50</f>
        <v>0.765</v>
      </c>
    </row>
    <row r="51" spans="23:24" ht="8.25" customHeight="1">
      <c r="W51" s="2" t="s">
        <v>34</v>
      </c>
      <c r="X51" s="1">
        <f>X46*X49*X50</f>
        <v>0.6120000000000001</v>
      </c>
    </row>
    <row r="52" spans="1:23" ht="18" customHeight="1">
      <c r="A52" s="3" t="s">
        <v>56</v>
      </c>
      <c r="B52" s="6">
        <v>0.16</v>
      </c>
      <c r="C52" s="3" t="s">
        <v>14</v>
      </c>
      <c r="D52" s="3">
        <f>$X$36*$X$35*$B$52*D$5</f>
        <v>610.4000000000001</v>
      </c>
      <c r="E52" s="3">
        <f aca="true" t="shared" si="42" ref="E52:T52">$X$36*$X$35*$B$52*E$5</f>
        <v>763.0000000000001</v>
      </c>
      <c r="F52" s="3">
        <f t="shared" si="42"/>
        <v>915.6000000000001</v>
      </c>
      <c r="G52" s="3">
        <f t="shared" si="42"/>
        <v>1068.2</v>
      </c>
      <c r="H52" s="3">
        <f t="shared" si="42"/>
        <v>1220.8000000000002</v>
      </c>
      <c r="I52" s="3">
        <f t="shared" si="42"/>
        <v>1373.4</v>
      </c>
      <c r="J52" s="3">
        <f t="shared" si="42"/>
        <v>1526.0000000000002</v>
      </c>
      <c r="K52" s="3">
        <f t="shared" si="42"/>
        <v>1678.6000000000001</v>
      </c>
      <c r="L52" s="3">
        <f t="shared" si="42"/>
        <v>1831.2000000000003</v>
      </c>
      <c r="M52" s="3">
        <f t="shared" si="42"/>
        <v>1983.8</v>
      </c>
      <c r="N52" s="3">
        <f t="shared" si="42"/>
        <v>2136.4</v>
      </c>
      <c r="O52" s="3">
        <f t="shared" si="42"/>
        <v>2289</v>
      </c>
      <c r="P52" s="3">
        <f t="shared" si="42"/>
        <v>2441.6000000000004</v>
      </c>
      <c r="Q52" s="3">
        <f t="shared" si="42"/>
        <v>2594.2000000000003</v>
      </c>
      <c r="R52" s="3">
        <f t="shared" si="42"/>
        <v>2746.8</v>
      </c>
      <c r="S52" s="3">
        <f t="shared" si="42"/>
        <v>2899.4000000000005</v>
      </c>
      <c r="T52" s="3">
        <f t="shared" si="42"/>
        <v>3052.0000000000005</v>
      </c>
      <c r="W52" s="2"/>
    </row>
    <row r="53" spans="1:24" ht="18" customHeight="1">
      <c r="A53" s="3"/>
      <c r="B53" s="6"/>
      <c r="C53" s="3" t="s">
        <v>15</v>
      </c>
      <c r="D53" s="3">
        <f>0.5*$X$34*$X$26*$X$27*D$5*D$5</f>
        <v>4.629629629629629</v>
      </c>
      <c r="E53" s="3">
        <f aca="true" t="shared" si="43" ref="E53:T53">0.5*$X$34*$X$26*$X$27*E$5*E$5</f>
        <v>7.233796296296297</v>
      </c>
      <c r="F53" s="3">
        <f t="shared" si="43"/>
        <v>10.416666666666668</v>
      </c>
      <c r="G53" s="3">
        <f t="shared" si="43"/>
        <v>14.178240740740739</v>
      </c>
      <c r="H53" s="3">
        <f t="shared" si="43"/>
        <v>18.518518518518515</v>
      </c>
      <c r="I53" s="3">
        <f t="shared" si="43"/>
        <v>23.4375</v>
      </c>
      <c r="J53" s="3">
        <f t="shared" si="43"/>
        <v>28.935185185185187</v>
      </c>
      <c r="K53" s="3">
        <f t="shared" si="43"/>
        <v>35.01157407407407</v>
      </c>
      <c r="L53" s="3">
        <f t="shared" si="43"/>
        <v>41.66666666666667</v>
      </c>
      <c r="M53" s="3">
        <f t="shared" si="43"/>
        <v>48.900462962962955</v>
      </c>
      <c r="N53" s="3">
        <f t="shared" si="43"/>
        <v>56.712962962962955</v>
      </c>
      <c r="O53" s="3">
        <f t="shared" si="43"/>
        <v>65.10416666666666</v>
      </c>
      <c r="P53" s="3">
        <f t="shared" si="43"/>
        <v>74.07407407407406</v>
      </c>
      <c r="Q53" s="3">
        <f t="shared" si="43"/>
        <v>83.62268518518518</v>
      </c>
      <c r="R53" s="3">
        <f t="shared" si="43"/>
        <v>93.75</v>
      </c>
      <c r="S53" s="3">
        <f t="shared" si="43"/>
        <v>104.45601851851852</v>
      </c>
      <c r="T53" s="3">
        <f t="shared" si="43"/>
        <v>115.74074074074075</v>
      </c>
      <c r="W53" s="2" t="s">
        <v>35</v>
      </c>
      <c r="X53" s="1">
        <v>20</v>
      </c>
    </row>
    <row r="54" spans="1:24" ht="18" customHeight="1">
      <c r="A54" s="3"/>
      <c r="B54" s="6"/>
      <c r="C54" s="3" t="s">
        <v>16</v>
      </c>
      <c r="D54" s="3">
        <f>$X$37*$X$35*$X$36*D$5</f>
        <v>19.075000000000003</v>
      </c>
      <c r="E54" s="3">
        <f aca="true" t="shared" si="44" ref="E54:T54">$X$37*$X$35*$X$36*E$5</f>
        <v>23.843750000000004</v>
      </c>
      <c r="F54" s="3">
        <f t="shared" si="44"/>
        <v>28.612500000000004</v>
      </c>
      <c r="G54" s="3">
        <f t="shared" si="44"/>
        <v>33.38125</v>
      </c>
      <c r="H54" s="3">
        <f t="shared" si="44"/>
        <v>38.150000000000006</v>
      </c>
      <c r="I54" s="3">
        <f t="shared" si="44"/>
        <v>42.91875</v>
      </c>
      <c r="J54" s="3">
        <f t="shared" si="44"/>
        <v>47.68750000000001</v>
      </c>
      <c r="K54" s="3">
        <f t="shared" si="44"/>
        <v>52.456250000000004</v>
      </c>
      <c r="L54" s="3">
        <f t="shared" si="44"/>
        <v>57.22500000000001</v>
      </c>
      <c r="M54" s="3">
        <f t="shared" si="44"/>
        <v>61.99375</v>
      </c>
      <c r="N54" s="3">
        <f t="shared" si="44"/>
        <v>66.7625</v>
      </c>
      <c r="O54" s="3">
        <f t="shared" si="44"/>
        <v>71.53125</v>
      </c>
      <c r="P54" s="3">
        <f t="shared" si="44"/>
        <v>76.30000000000001</v>
      </c>
      <c r="Q54" s="3">
        <f t="shared" si="44"/>
        <v>81.06875000000001</v>
      </c>
      <c r="R54" s="3">
        <f t="shared" si="44"/>
        <v>85.8375</v>
      </c>
      <c r="S54" s="3">
        <f t="shared" si="44"/>
        <v>90.60625000000002</v>
      </c>
      <c r="T54" s="3">
        <f t="shared" si="44"/>
        <v>95.37500000000001</v>
      </c>
      <c r="W54" s="2" t="s">
        <v>36</v>
      </c>
      <c r="X54" s="1">
        <v>48</v>
      </c>
    </row>
    <row r="55" spans="1:24" ht="18" customHeight="1">
      <c r="A55" s="3"/>
      <c r="B55" s="6"/>
      <c r="C55" s="5" t="s">
        <v>17</v>
      </c>
      <c r="D55" s="11">
        <f aca="true" t="shared" si="45" ref="D55:T55">D52+D53+D54</f>
        <v>634.1046296296298</v>
      </c>
      <c r="E55" s="11">
        <f t="shared" si="45"/>
        <v>794.0775462962964</v>
      </c>
      <c r="F55" s="11">
        <f t="shared" si="45"/>
        <v>954.6291666666667</v>
      </c>
      <c r="G55" s="11">
        <f t="shared" si="45"/>
        <v>1115.7594907407406</v>
      </c>
      <c r="H55" s="11">
        <f t="shared" si="45"/>
        <v>1277.4685185185187</v>
      </c>
      <c r="I55" s="11">
        <f t="shared" si="45"/>
        <v>1439.7562500000001</v>
      </c>
      <c r="J55" s="11">
        <f t="shared" si="45"/>
        <v>1602.6226851851854</v>
      </c>
      <c r="K55" s="11">
        <f t="shared" si="45"/>
        <v>1766.0678240740742</v>
      </c>
      <c r="L55" s="11">
        <f t="shared" si="45"/>
        <v>1930.091666666667</v>
      </c>
      <c r="M55" s="11">
        <f t="shared" si="45"/>
        <v>2094.694212962963</v>
      </c>
      <c r="N55" s="11">
        <f t="shared" si="45"/>
        <v>2259.875462962963</v>
      </c>
      <c r="O55" s="11">
        <f t="shared" si="45"/>
        <v>2425.6354166666665</v>
      </c>
      <c r="P55" s="11">
        <f t="shared" si="45"/>
        <v>2591.9740740740745</v>
      </c>
      <c r="Q55" s="11">
        <f t="shared" si="45"/>
        <v>2758.8914351851854</v>
      </c>
      <c r="R55" s="11">
        <f t="shared" si="45"/>
        <v>2926.3875000000003</v>
      </c>
      <c r="S55" s="11">
        <f t="shared" si="45"/>
        <v>3094.462268518519</v>
      </c>
      <c r="T55" s="11">
        <f t="shared" si="45"/>
        <v>3263.1157407407413</v>
      </c>
      <c r="W55" s="2" t="s">
        <v>37</v>
      </c>
      <c r="X55" s="1">
        <f>2*X54*X53</f>
        <v>1920</v>
      </c>
    </row>
    <row r="56" spans="1:20" ht="18" customHeight="1">
      <c r="A56" s="19"/>
      <c r="B56" s="20"/>
      <c r="C56" s="11" t="s">
        <v>48</v>
      </c>
      <c r="D56" s="8">
        <f>D$55/(D$11*D$10)</f>
        <v>1083.5422899814</v>
      </c>
      <c r="E56" s="8">
        <f aca="true" t="shared" si="46" ref="E56:T56">E$55/(E$11*E$10)</f>
        <v>1331.1877021456428</v>
      </c>
      <c r="F56" s="8">
        <f t="shared" si="46"/>
        <v>1570.5743197330623</v>
      </c>
      <c r="G56" s="8">
        <f t="shared" si="46"/>
        <v>1802.1544950669852</v>
      </c>
      <c r="H56" s="8">
        <f t="shared" si="46"/>
        <v>2026.3481376842294</v>
      </c>
      <c r="I56" s="8">
        <f t="shared" si="46"/>
        <v>2243.5455716068877</v>
      </c>
      <c r="J56" s="8">
        <f t="shared" si="46"/>
        <v>2454.110095869377</v>
      </c>
      <c r="K56" s="8">
        <f t="shared" si="46"/>
        <v>2658.3802836441228</v>
      </c>
      <c r="L56" s="8">
        <f t="shared" si="46"/>
        <v>2856.672050578907</v>
      </c>
      <c r="M56" s="8">
        <f t="shared" si="46"/>
        <v>3049.2805189289725</v>
      </c>
      <c r="N56" s="8">
        <f t="shared" si="46"/>
        <v>3236.4817006243347</v>
      </c>
      <c r="O56" s="8">
        <f t="shared" si="46"/>
        <v>3418.534019463546</v>
      </c>
      <c r="P56" s="8">
        <f t="shared" si="46"/>
        <v>3595.679690092301</v>
      </c>
      <c r="Q56" s="8">
        <f t="shared" si="46"/>
        <v>3768.1459692442627</v>
      </c>
      <c r="R56" s="8">
        <f t="shared" si="46"/>
        <v>3936.146292838955</v>
      </c>
      <c r="S56" s="8">
        <f t="shared" si="46"/>
        <v>4099.881310902765</v>
      </c>
      <c r="T56" s="8">
        <f t="shared" si="46"/>
        <v>4259.5398308666</v>
      </c>
    </row>
    <row r="57" spans="1:20" ht="18" customHeight="1">
      <c r="A57" s="19"/>
      <c r="B57" s="20"/>
      <c r="C57" s="11" t="s">
        <v>50</v>
      </c>
      <c r="D57" s="8" t="str">
        <f>IF(D$56&gt;1920,"défaut Pmax elec","Pmax OK")</f>
        <v>Pmax OK</v>
      </c>
      <c r="E57" s="8" t="str">
        <f aca="true" t="shared" si="47" ref="E57:T57">IF(E$56&gt;1920,"défaut Pmax elec","Pmax OK")</f>
        <v>Pmax OK</v>
      </c>
      <c r="F57" s="8" t="str">
        <f t="shared" si="47"/>
        <v>Pmax OK</v>
      </c>
      <c r="G57" s="8" t="str">
        <f t="shared" si="47"/>
        <v>Pmax OK</v>
      </c>
      <c r="H57" s="8" t="str">
        <f t="shared" si="47"/>
        <v>défaut Pmax elec</v>
      </c>
      <c r="I57" s="8" t="str">
        <f t="shared" si="47"/>
        <v>défaut Pmax elec</v>
      </c>
      <c r="J57" s="8" t="str">
        <f t="shared" si="47"/>
        <v>défaut Pmax elec</v>
      </c>
      <c r="K57" s="8" t="str">
        <f t="shared" si="47"/>
        <v>défaut Pmax elec</v>
      </c>
      <c r="L57" s="8" t="str">
        <f t="shared" si="47"/>
        <v>défaut Pmax elec</v>
      </c>
      <c r="M57" s="8" t="str">
        <f t="shared" si="47"/>
        <v>défaut Pmax elec</v>
      </c>
      <c r="N57" s="8" t="str">
        <f t="shared" si="47"/>
        <v>défaut Pmax elec</v>
      </c>
      <c r="O57" s="8" t="str">
        <f t="shared" si="47"/>
        <v>défaut Pmax elec</v>
      </c>
      <c r="P57" s="8" t="str">
        <f t="shared" si="47"/>
        <v>défaut Pmax elec</v>
      </c>
      <c r="Q57" s="8" t="str">
        <f t="shared" si="47"/>
        <v>défaut Pmax elec</v>
      </c>
      <c r="R57" s="8" t="str">
        <f t="shared" si="47"/>
        <v>défaut Pmax elec</v>
      </c>
      <c r="S57" s="8" t="str">
        <f t="shared" si="47"/>
        <v>défaut Pmax elec</v>
      </c>
      <c r="T57" s="8" t="str">
        <f t="shared" si="47"/>
        <v>défaut Pmax elec</v>
      </c>
    </row>
    <row r="58" spans="1:20" ht="18" customHeight="1">
      <c r="A58" s="68" t="s">
        <v>29</v>
      </c>
      <c r="B58" s="69"/>
      <c r="C58" s="3" t="s">
        <v>27</v>
      </c>
      <c r="D58" s="10">
        <f>$X$42/D$56</f>
        <v>2.9532765168352872</v>
      </c>
      <c r="E58" s="10">
        <f aca="true" t="shared" si="48" ref="E58:T58">$X$42/E$56</f>
        <v>2.4038683611951623</v>
      </c>
      <c r="F58" s="10">
        <f t="shared" si="48"/>
        <v>2.0374712357094173</v>
      </c>
      <c r="G58" s="10">
        <f t="shared" si="48"/>
        <v>1.7756524253382935</v>
      </c>
      <c r="H58" s="10">
        <f t="shared" si="48"/>
        <v>1.5791955688606671</v>
      </c>
      <c r="I58" s="10">
        <f t="shared" si="48"/>
        <v>1.4263137956712302</v>
      </c>
      <c r="J58" s="10">
        <f t="shared" si="48"/>
        <v>1.3039349804990672</v>
      </c>
      <c r="K58" s="10">
        <f t="shared" si="48"/>
        <v>1.2037404955522097</v>
      </c>
      <c r="L58" s="10">
        <f t="shared" si="48"/>
        <v>1.1201845865896707</v>
      </c>
      <c r="M58" s="10">
        <f t="shared" si="48"/>
        <v>1.0494278831138717</v>
      </c>
      <c r="N58" s="10">
        <f t="shared" si="48"/>
        <v>0.9887279756232525</v>
      </c>
      <c r="O58" s="10">
        <f t="shared" si="48"/>
        <v>0.936073761963662</v>
      </c>
      <c r="P58" s="10">
        <f t="shared" si="48"/>
        <v>0.8899569137978072</v>
      </c>
      <c r="Q58" s="10">
        <f t="shared" si="48"/>
        <v>0.8492240019676813</v>
      </c>
      <c r="R58" s="10">
        <f t="shared" si="48"/>
        <v>0.8129779134027034</v>
      </c>
      <c r="S58" s="10">
        <f t="shared" si="48"/>
        <v>0.7805103995304153</v>
      </c>
      <c r="T58" s="10">
        <f t="shared" si="48"/>
        <v>0.7512548601638414</v>
      </c>
    </row>
    <row r="59" spans="1:20" ht="18" customHeight="1">
      <c r="A59" s="70"/>
      <c r="B59" s="71"/>
      <c r="C59" s="3" t="s">
        <v>28</v>
      </c>
      <c r="D59" s="3">
        <f>D$4*D$58</f>
        <v>29.532765168352874</v>
      </c>
      <c r="E59" s="3">
        <f aca="true" t="shared" si="49" ref="E59:T59">E$4*E$58</f>
        <v>30.04835451493953</v>
      </c>
      <c r="F59" s="3">
        <f t="shared" si="49"/>
        <v>30.56206853564126</v>
      </c>
      <c r="G59" s="3">
        <f t="shared" si="49"/>
        <v>31.073917443420136</v>
      </c>
      <c r="H59" s="3">
        <f t="shared" si="49"/>
        <v>31.583911377213344</v>
      </c>
      <c r="I59" s="3">
        <f t="shared" si="49"/>
        <v>32.09206040260268</v>
      </c>
      <c r="J59" s="3">
        <f t="shared" si="49"/>
        <v>32.59837451247668</v>
      </c>
      <c r="K59" s="3">
        <f t="shared" si="49"/>
        <v>33.10286362768577</v>
      </c>
      <c r="L59" s="3">
        <f t="shared" si="49"/>
        <v>33.60553759769012</v>
      </c>
      <c r="M59" s="3">
        <f t="shared" si="49"/>
        <v>34.10640620120083</v>
      </c>
      <c r="N59" s="3">
        <f t="shared" si="49"/>
        <v>34.60547914681384</v>
      </c>
      <c r="O59" s="3">
        <f t="shared" si="49"/>
        <v>35.102766073637326</v>
      </c>
      <c r="P59" s="3">
        <f t="shared" si="49"/>
        <v>35.598276551912285</v>
      </c>
      <c r="Q59" s="3">
        <f t="shared" si="49"/>
        <v>36.09202008362646</v>
      </c>
      <c r="R59" s="3">
        <f t="shared" si="49"/>
        <v>36.58400610312165</v>
      </c>
      <c r="S59" s="3">
        <f t="shared" si="49"/>
        <v>37.07424397769473</v>
      </c>
      <c r="T59" s="3">
        <f t="shared" si="49"/>
        <v>37.562743008192065</v>
      </c>
    </row>
    <row r="61" spans="2:20" ht="18" customHeight="1">
      <c r="B61" s="65" t="s">
        <v>73</v>
      </c>
      <c r="C61" s="65"/>
      <c r="D61" s="3">
        <v>1920</v>
      </c>
      <c r="E61" s="3">
        <v>1920</v>
      </c>
      <c r="F61" s="3">
        <v>1920</v>
      </c>
      <c r="G61" s="3">
        <v>1920</v>
      </c>
      <c r="H61" s="3">
        <v>1920</v>
      </c>
      <c r="I61" s="3">
        <v>1920</v>
      </c>
      <c r="J61" s="3">
        <v>1920</v>
      </c>
      <c r="K61" s="3">
        <v>1920</v>
      </c>
      <c r="L61" s="3">
        <v>1920</v>
      </c>
      <c r="M61" s="3">
        <v>1920</v>
      </c>
      <c r="N61" s="3">
        <v>1920</v>
      </c>
      <c r="O61" s="3">
        <v>1920</v>
      </c>
      <c r="P61" s="3">
        <v>1920</v>
      </c>
      <c r="Q61" s="3">
        <v>1920</v>
      </c>
      <c r="R61" s="3">
        <v>1920</v>
      </c>
      <c r="S61" s="3">
        <v>1920</v>
      </c>
      <c r="T61" s="3">
        <v>1920</v>
      </c>
    </row>
    <row r="62" spans="2:20" ht="18" customHeight="1">
      <c r="B62" s="65" t="s">
        <v>74</v>
      </c>
      <c r="C62" s="65"/>
      <c r="D62" s="3">
        <f>D61-150</f>
        <v>1770</v>
      </c>
      <c r="E62" s="3">
        <f aca="true" t="shared" si="50" ref="E62:T65">E61-150</f>
        <v>1770</v>
      </c>
      <c r="F62" s="3">
        <f t="shared" si="50"/>
        <v>1770</v>
      </c>
      <c r="G62" s="3">
        <f t="shared" si="50"/>
        <v>1770</v>
      </c>
      <c r="H62" s="3">
        <f t="shared" si="50"/>
        <v>1770</v>
      </c>
      <c r="I62" s="3">
        <f t="shared" si="50"/>
        <v>1770</v>
      </c>
      <c r="J62" s="3">
        <f t="shared" si="50"/>
        <v>1770</v>
      </c>
      <c r="K62" s="3">
        <f t="shared" si="50"/>
        <v>1770</v>
      </c>
      <c r="L62" s="3">
        <f t="shared" si="50"/>
        <v>1770</v>
      </c>
      <c r="M62" s="3">
        <f t="shared" si="50"/>
        <v>1770</v>
      </c>
      <c r="N62" s="3">
        <f t="shared" si="50"/>
        <v>1770</v>
      </c>
      <c r="O62" s="3">
        <f t="shared" si="50"/>
        <v>1770</v>
      </c>
      <c r="P62" s="3">
        <f t="shared" si="50"/>
        <v>1770</v>
      </c>
      <c r="Q62" s="3">
        <f t="shared" si="50"/>
        <v>1770</v>
      </c>
      <c r="R62" s="3">
        <f t="shared" si="50"/>
        <v>1770</v>
      </c>
      <c r="S62" s="3">
        <f t="shared" si="50"/>
        <v>1770</v>
      </c>
      <c r="T62" s="3">
        <f t="shared" si="50"/>
        <v>1770</v>
      </c>
    </row>
    <row r="63" spans="2:20" ht="18" customHeight="1">
      <c r="B63" s="65" t="s">
        <v>75</v>
      </c>
      <c r="C63" s="65"/>
      <c r="D63" s="3">
        <f>D62-150</f>
        <v>1620</v>
      </c>
      <c r="E63" s="3">
        <f t="shared" si="50"/>
        <v>1620</v>
      </c>
      <c r="F63" s="3">
        <f t="shared" si="50"/>
        <v>1620</v>
      </c>
      <c r="G63" s="3">
        <f t="shared" si="50"/>
        <v>1620</v>
      </c>
      <c r="H63" s="3">
        <f t="shared" si="50"/>
        <v>1620</v>
      </c>
      <c r="I63" s="3">
        <f t="shared" si="50"/>
        <v>1620</v>
      </c>
      <c r="J63" s="3">
        <f t="shared" si="50"/>
        <v>1620</v>
      </c>
      <c r="K63" s="3">
        <f t="shared" si="50"/>
        <v>1620</v>
      </c>
      <c r="L63" s="3">
        <f t="shared" si="50"/>
        <v>1620</v>
      </c>
      <c r="M63" s="3">
        <f t="shared" si="50"/>
        <v>1620</v>
      </c>
      <c r="N63" s="3">
        <f t="shared" si="50"/>
        <v>1620</v>
      </c>
      <c r="O63" s="3">
        <f t="shared" si="50"/>
        <v>1620</v>
      </c>
      <c r="P63" s="3">
        <f t="shared" si="50"/>
        <v>1620</v>
      </c>
      <c r="Q63" s="3">
        <f t="shared" si="50"/>
        <v>1620</v>
      </c>
      <c r="R63" s="3">
        <f t="shared" si="50"/>
        <v>1620</v>
      </c>
      <c r="S63" s="3">
        <f t="shared" si="50"/>
        <v>1620</v>
      </c>
      <c r="T63" s="3">
        <f t="shared" si="50"/>
        <v>1620</v>
      </c>
    </row>
    <row r="64" spans="2:20" ht="18" customHeight="1">
      <c r="B64" s="65" t="s">
        <v>76</v>
      </c>
      <c r="C64" s="65"/>
      <c r="D64" s="3">
        <f>D63-150</f>
        <v>1470</v>
      </c>
      <c r="E64" s="3">
        <f t="shared" si="50"/>
        <v>1470</v>
      </c>
      <c r="F64" s="3">
        <f t="shared" si="50"/>
        <v>1470</v>
      </c>
      <c r="G64" s="3">
        <f t="shared" si="50"/>
        <v>1470</v>
      </c>
      <c r="H64" s="3">
        <f t="shared" si="50"/>
        <v>1470</v>
      </c>
      <c r="I64" s="3">
        <f t="shared" si="50"/>
        <v>1470</v>
      </c>
      <c r="J64" s="3">
        <f t="shared" si="50"/>
        <v>1470</v>
      </c>
      <c r="K64" s="3">
        <f t="shared" si="50"/>
        <v>1470</v>
      </c>
      <c r="L64" s="3">
        <f t="shared" si="50"/>
        <v>1470</v>
      </c>
      <c r="M64" s="3">
        <f t="shared" si="50"/>
        <v>1470</v>
      </c>
      <c r="N64" s="3">
        <f t="shared" si="50"/>
        <v>1470</v>
      </c>
      <c r="O64" s="3">
        <f t="shared" si="50"/>
        <v>1470</v>
      </c>
      <c r="P64" s="3">
        <f t="shared" si="50"/>
        <v>1470</v>
      </c>
      <c r="Q64" s="3">
        <f t="shared" si="50"/>
        <v>1470</v>
      </c>
      <c r="R64" s="3">
        <f t="shared" si="50"/>
        <v>1470</v>
      </c>
      <c r="S64" s="3">
        <f t="shared" si="50"/>
        <v>1470</v>
      </c>
      <c r="T64" s="3">
        <f t="shared" si="50"/>
        <v>1470</v>
      </c>
    </row>
    <row r="65" spans="2:20" ht="18" customHeight="1">
      <c r="B65" s="65" t="s">
        <v>77</v>
      </c>
      <c r="C65" s="65"/>
      <c r="D65" s="3">
        <f>D64-150</f>
        <v>1320</v>
      </c>
      <c r="E65" s="3">
        <f t="shared" si="50"/>
        <v>1320</v>
      </c>
      <c r="F65" s="3">
        <f t="shared" si="50"/>
        <v>1320</v>
      </c>
      <c r="G65" s="3">
        <f t="shared" si="50"/>
        <v>1320</v>
      </c>
      <c r="H65" s="3">
        <f t="shared" si="50"/>
        <v>1320</v>
      </c>
      <c r="I65" s="3">
        <f t="shared" si="50"/>
        <v>1320</v>
      </c>
      <c r="J65" s="3">
        <f t="shared" si="50"/>
        <v>1320</v>
      </c>
      <c r="K65" s="3">
        <f t="shared" si="50"/>
        <v>1320</v>
      </c>
      <c r="L65" s="3">
        <f t="shared" si="50"/>
        <v>1320</v>
      </c>
      <c r="M65" s="3">
        <f t="shared" si="50"/>
        <v>1320</v>
      </c>
      <c r="N65" s="3">
        <f t="shared" si="50"/>
        <v>1320</v>
      </c>
      <c r="O65" s="3">
        <f t="shared" si="50"/>
        <v>1320</v>
      </c>
      <c r="P65" s="3">
        <f t="shared" si="50"/>
        <v>1320</v>
      </c>
      <c r="Q65" s="3">
        <f t="shared" si="50"/>
        <v>1320</v>
      </c>
      <c r="R65" s="3">
        <f t="shared" si="50"/>
        <v>1320</v>
      </c>
      <c r="S65" s="3">
        <f t="shared" si="50"/>
        <v>1320</v>
      </c>
      <c r="T65" s="3">
        <f t="shared" si="50"/>
        <v>1320</v>
      </c>
    </row>
  </sheetData>
  <mergeCells count="13">
    <mergeCell ref="B65:C65"/>
    <mergeCell ref="B64:C64"/>
    <mergeCell ref="B63:C63"/>
    <mergeCell ref="B62:C62"/>
    <mergeCell ref="B61:C61"/>
    <mergeCell ref="A31:B32"/>
    <mergeCell ref="A40:B41"/>
    <mergeCell ref="A49:B50"/>
    <mergeCell ref="A58:B59"/>
    <mergeCell ref="A4:B5"/>
    <mergeCell ref="A6:B9"/>
    <mergeCell ref="A14:B14"/>
    <mergeCell ref="A22:B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Y61"/>
  <sheetViews>
    <sheetView workbookViewId="0" topLeftCell="A13">
      <selection activeCell="V65" sqref="V65"/>
    </sheetView>
  </sheetViews>
  <sheetFormatPr defaultColWidth="11.421875" defaultRowHeight="18" customHeight="1"/>
  <cols>
    <col min="1" max="1" width="11.421875" style="1" customWidth="1"/>
    <col min="2" max="2" width="5.57421875" style="1" bestFit="1" customWidth="1"/>
    <col min="3" max="3" width="23.421875" style="1" bestFit="1" customWidth="1"/>
    <col min="4" max="4" width="9.140625" style="1" bestFit="1" customWidth="1"/>
    <col min="5" max="5" width="9.140625" style="1" customWidth="1"/>
    <col min="6" max="6" width="9.140625" style="1" bestFit="1" customWidth="1"/>
    <col min="7" max="7" width="9.140625" style="1" customWidth="1"/>
    <col min="8" max="8" width="9.140625" style="1" bestFit="1" customWidth="1"/>
    <col min="9" max="10" width="15.421875" style="1" bestFit="1" customWidth="1"/>
    <col min="11" max="11" width="15.421875" style="1" customWidth="1"/>
    <col min="12" max="12" width="15.421875" style="1" bestFit="1" customWidth="1"/>
    <col min="13" max="13" width="15.421875" style="1" customWidth="1"/>
    <col min="14" max="14" width="15.421875" style="1" bestFit="1" customWidth="1"/>
    <col min="15" max="15" width="15.421875" style="1" customWidth="1"/>
    <col min="16" max="16" width="15.421875" style="1" bestFit="1" customWidth="1"/>
    <col min="17" max="17" width="15.421875" style="1" customWidth="1"/>
    <col min="18" max="18" width="15.421875" style="1" bestFit="1" customWidth="1"/>
    <col min="19" max="19" width="15.421875" style="1" customWidth="1"/>
    <col min="20" max="20" width="15.421875" style="1" bestFit="1" customWidth="1"/>
    <col min="21" max="22" width="11.421875" style="1" customWidth="1"/>
    <col min="23" max="23" width="18.140625" style="1" customWidth="1"/>
    <col min="24" max="16384" width="11.421875" style="1" customWidth="1"/>
  </cols>
  <sheetData>
    <row r="2" spans="3:20" ht="18" customHeight="1">
      <c r="C2" s="3" t="s">
        <v>44</v>
      </c>
      <c r="D2" s="3">
        <f>D5/$X$40</f>
        <v>8.417508417508417</v>
      </c>
      <c r="E2" s="3">
        <f aca="true" t="shared" si="0" ref="E2:S2">E5/$X$40</f>
        <v>10.521885521885523</v>
      </c>
      <c r="F2" s="3">
        <f t="shared" si="0"/>
        <v>12.626262626262626</v>
      </c>
      <c r="G2" s="3">
        <f t="shared" si="0"/>
        <v>14.730639730639728</v>
      </c>
      <c r="H2" s="3">
        <f t="shared" si="0"/>
        <v>16.835016835016834</v>
      </c>
      <c r="I2" s="3">
        <f t="shared" si="0"/>
        <v>18.939393939393938</v>
      </c>
      <c r="J2" s="3">
        <f t="shared" si="0"/>
        <v>21.043771043771045</v>
      </c>
      <c r="K2" s="3">
        <f t="shared" si="0"/>
        <v>23.148148148148145</v>
      </c>
      <c r="L2" s="3">
        <f t="shared" si="0"/>
        <v>25.252525252525253</v>
      </c>
      <c r="M2" s="3">
        <f t="shared" si="0"/>
        <v>27.356902356902353</v>
      </c>
      <c r="N2" s="3">
        <f t="shared" si="0"/>
        <v>29.461279461279457</v>
      </c>
      <c r="O2" s="3">
        <f t="shared" si="0"/>
        <v>31.565656565656564</v>
      </c>
      <c r="P2" s="3">
        <f t="shared" si="0"/>
        <v>33.67003367003367</v>
      </c>
      <c r="Q2" s="3">
        <f t="shared" si="0"/>
        <v>35.774410774410775</v>
      </c>
      <c r="R2" s="3">
        <f t="shared" si="0"/>
        <v>37.878787878787875</v>
      </c>
      <c r="S2" s="3">
        <f t="shared" si="0"/>
        <v>39.98316498316498</v>
      </c>
      <c r="T2" s="3">
        <f>T5/$X$40</f>
        <v>42.08754208754209</v>
      </c>
    </row>
    <row r="3" spans="3:20" ht="18" customHeight="1">
      <c r="C3" s="3" t="s">
        <v>43</v>
      </c>
      <c r="D3" s="3">
        <f>(60*D2)/(2*PI())</f>
        <v>80.38128438984613</v>
      </c>
      <c r="E3" s="3">
        <f aca="true" t="shared" si="1" ref="E3:T3">(60*E2)/(2*PI())</f>
        <v>100.47660548730768</v>
      </c>
      <c r="F3" s="3">
        <f t="shared" si="1"/>
        <v>120.5719265847692</v>
      </c>
      <c r="G3" s="3">
        <f t="shared" si="1"/>
        <v>140.6672476822307</v>
      </c>
      <c r="H3" s="3">
        <f t="shared" si="1"/>
        <v>160.76256877969226</v>
      </c>
      <c r="I3" s="3">
        <f t="shared" si="1"/>
        <v>180.85788987715378</v>
      </c>
      <c r="J3" s="3">
        <f t="shared" si="1"/>
        <v>200.95321097461536</v>
      </c>
      <c r="K3" s="3">
        <f t="shared" si="1"/>
        <v>221.04853207207682</v>
      </c>
      <c r="L3" s="3">
        <f t="shared" si="1"/>
        <v>241.1438531695384</v>
      </c>
      <c r="M3" s="3">
        <f t="shared" si="1"/>
        <v>261.2391742669999</v>
      </c>
      <c r="N3" s="3">
        <f t="shared" si="1"/>
        <v>281.3344953644614</v>
      </c>
      <c r="O3" s="3">
        <f t="shared" si="1"/>
        <v>301.429816461923</v>
      </c>
      <c r="P3" s="3">
        <f t="shared" si="1"/>
        <v>321.5251375593845</v>
      </c>
      <c r="Q3" s="3">
        <f t="shared" si="1"/>
        <v>341.6204586568461</v>
      </c>
      <c r="R3" s="3">
        <f t="shared" si="1"/>
        <v>361.71577975430756</v>
      </c>
      <c r="S3" s="3">
        <f t="shared" si="1"/>
        <v>381.8111008517691</v>
      </c>
      <c r="T3" s="3">
        <f t="shared" si="1"/>
        <v>401.9064219492307</v>
      </c>
    </row>
    <row r="4" spans="1:20" ht="18" customHeight="1">
      <c r="A4" s="65" t="s">
        <v>18</v>
      </c>
      <c r="B4" s="66"/>
      <c r="C4" s="3" t="s">
        <v>19</v>
      </c>
      <c r="D4" s="10">
        <f>10</f>
        <v>10</v>
      </c>
      <c r="E4" s="10">
        <v>12.5</v>
      </c>
      <c r="F4" s="10">
        <v>15</v>
      </c>
      <c r="G4" s="10">
        <v>17.5</v>
      </c>
      <c r="H4" s="10">
        <v>20</v>
      </c>
      <c r="I4" s="10">
        <v>22.5</v>
      </c>
      <c r="J4" s="10">
        <v>25</v>
      </c>
      <c r="K4" s="10">
        <v>27.5</v>
      </c>
      <c r="L4" s="10">
        <v>30</v>
      </c>
      <c r="M4" s="15">
        <v>32.5</v>
      </c>
      <c r="N4" s="15">
        <v>35</v>
      </c>
      <c r="O4" s="15">
        <v>37.5</v>
      </c>
      <c r="P4" s="10">
        <v>40</v>
      </c>
      <c r="Q4" s="10">
        <v>42.5</v>
      </c>
      <c r="R4" s="10">
        <v>45</v>
      </c>
      <c r="S4" s="10">
        <v>47.5</v>
      </c>
      <c r="T4" s="10">
        <v>50</v>
      </c>
    </row>
    <row r="5" spans="1:20" ht="18" customHeight="1">
      <c r="A5" s="65"/>
      <c r="B5" s="66"/>
      <c r="C5" s="3" t="s">
        <v>20</v>
      </c>
      <c r="D5" s="3">
        <f aca="true" t="shared" si="2" ref="D5:T5">D4/3.6</f>
        <v>2.7777777777777777</v>
      </c>
      <c r="E5" s="3">
        <f t="shared" si="2"/>
        <v>3.4722222222222223</v>
      </c>
      <c r="F5" s="3">
        <f t="shared" si="2"/>
        <v>4.166666666666667</v>
      </c>
      <c r="G5" s="3">
        <f t="shared" si="2"/>
        <v>4.861111111111111</v>
      </c>
      <c r="H5" s="3">
        <f t="shared" si="2"/>
        <v>5.555555555555555</v>
      </c>
      <c r="I5" s="3">
        <f t="shared" si="2"/>
        <v>6.25</v>
      </c>
      <c r="J5" s="3">
        <f t="shared" si="2"/>
        <v>6.944444444444445</v>
      </c>
      <c r="K5" s="3">
        <f t="shared" si="2"/>
        <v>7.638888888888888</v>
      </c>
      <c r="L5" s="3">
        <f t="shared" si="2"/>
        <v>8.333333333333334</v>
      </c>
      <c r="M5" s="3">
        <f t="shared" si="2"/>
        <v>9.027777777777777</v>
      </c>
      <c r="N5" s="3">
        <f t="shared" si="2"/>
        <v>9.722222222222221</v>
      </c>
      <c r="O5" s="3">
        <f t="shared" si="2"/>
        <v>10.416666666666666</v>
      </c>
      <c r="P5" s="3">
        <f t="shared" si="2"/>
        <v>11.11111111111111</v>
      </c>
      <c r="Q5" s="3">
        <f t="shared" si="2"/>
        <v>11.805555555555555</v>
      </c>
      <c r="R5" s="3">
        <f t="shared" si="2"/>
        <v>12.5</v>
      </c>
      <c r="S5" s="3">
        <f t="shared" si="2"/>
        <v>13.194444444444445</v>
      </c>
      <c r="T5" s="3">
        <f t="shared" si="2"/>
        <v>13.88888888888889</v>
      </c>
    </row>
    <row r="6" spans="1:20" ht="28.5" customHeight="1">
      <c r="A6" s="3"/>
      <c r="B6" s="3"/>
      <c r="C6" s="3" t="s">
        <v>31</v>
      </c>
      <c r="D6" s="3">
        <v>0.6502383027436538</v>
      </c>
      <c r="E6" s="3">
        <v>0.6627978784295673</v>
      </c>
      <c r="F6" s="3">
        <v>0.6753574541154808</v>
      </c>
      <c r="G6" s="3">
        <v>0.6879170298013941</v>
      </c>
      <c r="H6" s="3">
        <v>0.7004766054873076</v>
      </c>
      <c r="I6" s="3">
        <v>0.7130361811732211</v>
      </c>
      <c r="J6" s="3">
        <v>0.7255957568591346</v>
      </c>
      <c r="K6" s="3">
        <v>0.7381553325450481</v>
      </c>
      <c r="L6" s="3">
        <v>0.7507149082309614</v>
      </c>
      <c r="M6" s="3">
        <v>0.7632744839168749</v>
      </c>
      <c r="N6" s="3">
        <v>0.7758340596027884</v>
      </c>
      <c r="O6" s="3">
        <v>0.7883936352887019</v>
      </c>
      <c r="P6" s="3">
        <v>0.8009532109746154</v>
      </c>
      <c r="Q6" s="3">
        <v>0.8135127866605287</v>
      </c>
      <c r="R6" s="3">
        <v>0.8260723623464422</v>
      </c>
      <c r="S6" s="3">
        <v>0.8386319380323557</v>
      </c>
      <c r="T6" s="3">
        <v>0.8511915137182692</v>
      </c>
    </row>
    <row r="7" spans="1:20" ht="18" customHeight="1">
      <c r="A7" s="3"/>
      <c r="B7" s="3"/>
      <c r="C7" s="3" t="s">
        <v>47</v>
      </c>
      <c r="D7" s="3">
        <v>0.9</v>
      </c>
      <c r="E7" s="3">
        <v>0.9</v>
      </c>
      <c r="F7" s="3">
        <v>0.9</v>
      </c>
      <c r="G7" s="3">
        <v>0.9</v>
      </c>
      <c r="H7" s="3">
        <v>0.9</v>
      </c>
      <c r="I7" s="3">
        <v>0.9</v>
      </c>
      <c r="J7" s="3">
        <v>0.9</v>
      </c>
      <c r="K7" s="3">
        <v>0.9</v>
      </c>
      <c r="L7" s="3">
        <v>0.9</v>
      </c>
      <c r="M7" s="3">
        <v>0.9</v>
      </c>
      <c r="N7" s="3">
        <v>0.9</v>
      </c>
      <c r="O7" s="3">
        <v>0.9</v>
      </c>
      <c r="P7" s="3">
        <v>0.9</v>
      </c>
      <c r="Q7" s="3">
        <v>0.9</v>
      </c>
      <c r="R7" s="3">
        <v>0.9</v>
      </c>
      <c r="S7" s="3">
        <v>0.9</v>
      </c>
      <c r="T7" s="3">
        <v>0.9</v>
      </c>
    </row>
    <row r="8" ht="8.25" customHeight="1"/>
    <row r="9" spans="1:20" ht="18" customHeight="1">
      <c r="A9" s="3" t="s">
        <v>30</v>
      </c>
      <c r="B9" s="6">
        <v>0.04</v>
      </c>
      <c r="C9" s="3" t="s">
        <v>14</v>
      </c>
      <c r="D9" s="3">
        <f>-$X$36*$X$37*$B$9*D5</f>
        <v>-152.60000000000002</v>
      </c>
      <c r="E9" s="3">
        <f aca="true" t="shared" si="3" ref="E9:T9">-$X$36*$X$37*$B$9*E5</f>
        <v>-190.75000000000003</v>
      </c>
      <c r="F9" s="3">
        <f t="shared" si="3"/>
        <v>-228.90000000000003</v>
      </c>
      <c r="G9" s="3">
        <f t="shared" si="3"/>
        <v>-267.05</v>
      </c>
      <c r="H9" s="3">
        <f t="shared" si="3"/>
        <v>-305.20000000000005</v>
      </c>
      <c r="I9" s="3">
        <f t="shared" si="3"/>
        <v>-343.35</v>
      </c>
      <c r="J9" s="3">
        <f t="shared" si="3"/>
        <v>-381.50000000000006</v>
      </c>
      <c r="K9" s="3">
        <f t="shared" si="3"/>
        <v>-419.65000000000003</v>
      </c>
      <c r="L9" s="3">
        <f t="shared" si="3"/>
        <v>-457.80000000000007</v>
      </c>
      <c r="M9" s="3">
        <f t="shared" si="3"/>
        <v>-495.95</v>
      </c>
      <c r="N9" s="3">
        <f t="shared" si="3"/>
        <v>-534.1</v>
      </c>
      <c r="O9" s="3">
        <f t="shared" si="3"/>
        <v>-572.25</v>
      </c>
      <c r="P9" s="3">
        <f t="shared" si="3"/>
        <v>-610.4000000000001</v>
      </c>
      <c r="Q9" s="3">
        <f t="shared" si="3"/>
        <v>-648.5500000000001</v>
      </c>
      <c r="R9" s="3">
        <f t="shared" si="3"/>
        <v>-686.7</v>
      </c>
      <c r="S9" s="3">
        <f t="shared" si="3"/>
        <v>-724.8500000000001</v>
      </c>
      <c r="T9" s="3">
        <f t="shared" si="3"/>
        <v>-763.0000000000001</v>
      </c>
    </row>
    <row r="10" spans="1:20" ht="18" customHeight="1">
      <c r="A10" s="3"/>
      <c r="B10" s="6"/>
      <c r="C10" s="3" t="s">
        <v>15</v>
      </c>
      <c r="D10" s="3">
        <f>0.5*$X$35*$X$27*$X$28*D$5*D$5</f>
        <v>4.629629629629629</v>
      </c>
      <c r="E10" s="3">
        <f aca="true" t="shared" si="4" ref="E10:T10">0.5*$X$35*$X$27*$X$28*E$5*E$5</f>
        <v>7.233796296296297</v>
      </c>
      <c r="F10" s="3">
        <f t="shared" si="4"/>
        <v>10.416666666666668</v>
      </c>
      <c r="G10" s="3">
        <f t="shared" si="4"/>
        <v>14.178240740740739</v>
      </c>
      <c r="H10" s="3">
        <f t="shared" si="4"/>
        <v>18.518518518518515</v>
      </c>
      <c r="I10" s="3">
        <f t="shared" si="4"/>
        <v>23.4375</v>
      </c>
      <c r="J10" s="3">
        <f t="shared" si="4"/>
        <v>28.935185185185187</v>
      </c>
      <c r="K10" s="3">
        <f t="shared" si="4"/>
        <v>35.01157407407407</v>
      </c>
      <c r="L10" s="3">
        <f t="shared" si="4"/>
        <v>41.66666666666667</v>
      </c>
      <c r="M10" s="3">
        <f t="shared" si="4"/>
        <v>48.900462962962955</v>
      </c>
      <c r="N10" s="3">
        <f t="shared" si="4"/>
        <v>56.712962962962955</v>
      </c>
      <c r="O10" s="3">
        <f t="shared" si="4"/>
        <v>65.10416666666666</v>
      </c>
      <c r="P10" s="3">
        <f t="shared" si="4"/>
        <v>74.07407407407406</v>
      </c>
      <c r="Q10" s="3">
        <f t="shared" si="4"/>
        <v>83.62268518518518</v>
      </c>
      <c r="R10" s="3">
        <f t="shared" si="4"/>
        <v>93.75</v>
      </c>
      <c r="S10" s="3">
        <f t="shared" si="4"/>
        <v>104.45601851851852</v>
      </c>
      <c r="T10" s="3">
        <f t="shared" si="4"/>
        <v>115.74074074074075</v>
      </c>
    </row>
    <row r="11" spans="1:20" ht="18" customHeight="1">
      <c r="A11" s="3"/>
      <c r="B11" s="6"/>
      <c r="C11" s="3" t="s">
        <v>16</v>
      </c>
      <c r="D11" s="3">
        <f>$X$38*$X$36*$X$37*D$5</f>
        <v>19.075000000000003</v>
      </c>
      <c r="E11" s="3">
        <f aca="true" t="shared" si="5" ref="E11:T11">$X$38*$X$36*$X$37*E$5</f>
        <v>23.843750000000004</v>
      </c>
      <c r="F11" s="3">
        <f t="shared" si="5"/>
        <v>28.612500000000004</v>
      </c>
      <c r="G11" s="3">
        <f t="shared" si="5"/>
        <v>33.38125</v>
      </c>
      <c r="H11" s="3">
        <f t="shared" si="5"/>
        <v>38.150000000000006</v>
      </c>
      <c r="I11" s="3">
        <f t="shared" si="5"/>
        <v>42.91875</v>
      </c>
      <c r="J11" s="3">
        <f t="shared" si="5"/>
        <v>47.68750000000001</v>
      </c>
      <c r="K11" s="3">
        <f t="shared" si="5"/>
        <v>52.456250000000004</v>
      </c>
      <c r="L11" s="3">
        <f t="shared" si="5"/>
        <v>57.22500000000001</v>
      </c>
      <c r="M11" s="3">
        <f t="shared" si="5"/>
        <v>61.99375</v>
      </c>
      <c r="N11" s="3">
        <f t="shared" si="5"/>
        <v>66.7625</v>
      </c>
      <c r="O11" s="3">
        <f t="shared" si="5"/>
        <v>71.53125</v>
      </c>
      <c r="P11" s="3">
        <f t="shared" si="5"/>
        <v>76.30000000000001</v>
      </c>
      <c r="Q11" s="3">
        <f t="shared" si="5"/>
        <v>81.06875000000001</v>
      </c>
      <c r="R11" s="3">
        <f t="shared" si="5"/>
        <v>85.8375</v>
      </c>
      <c r="S11" s="3">
        <f t="shared" si="5"/>
        <v>90.60625000000002</v>
      </c>
      <c r="T11" s="3">
        <f t="shared" si="5"/>
        <v>95.37500000000001</v>
      </c>
    </row>
    <row r="12" spans="1:20" ht="18" customHeight="1">
      <c r="A12" s="3"/>
      <c r="B12" s="6"/>
      <c r="C12" s="5" t="s">
        <v>17</v>
      </c>
      <c r="D12" s="11">
        <f>D$9+D$10+D$11</f>
        <v>-128.89537037037042</v>
      </c>
      <c r="E12" s="11">
        <f aca="true" t="shared" si="6" ref="E12:T12">E$9+E$10+E$11</f>
        <v>-159.67245370370372</v>
      </c>
      <c r="F12" s="11">
        <f t="shared" si="6"/>
        <v>-189.87083333333337</v>
      </c>
      <c r="G12" s="11">
        <f t="shared" si="6"/>
        <v>-219.49050925925928</v>
      </c>
      <c r="H12" s="11">
        <f t="shared" si="6"/>
        <v>-248.5314814814815</v>
      </c>
      <c r="I12" s="11">
        <f t="shared" si="6"/>
        <v>-276.99375000000003</v>
      </c>
      <c r="J12" s="11">
        <f t="shared" si="6"/>
        <v>-304.8773148148149</v>
      </c>
      <c r="K12" s="11">
        <f t="shared" si="6"/>
        <v>-332.18217592592595</v>
      </c>
      <c r="L12" s="11">
        <f t="shared" si="6"/>
        <v>-358.90833333333336</v>
      </c>
      <c r="M12" s="11">
        <f t="shared" si="6"/>
        <v>-385.0557870370371</v>
      </c>
      <c r="N12" s="11">
        <f t="shared" si="6"/>
        <v>-410.6245370370371</v>
      </c>
      <c r="O12" s="11">
        <f t="shared" si="6"/>
        <v>-435.61458333333337</v>
      </c>
      <c r="P12" s="11">
        <f t="shared" si="6"/>
        <v>-460.02592592592606</v>
      </c>
      <c r="Q12" s="11">
        <f t="shared" si="6"/>
        <v>-483.8585648148148</v>
      </c>
      <c r="R12" s="11">
        <f t="shared" si="6"/>
        <v>-507.11250000000007</v>
      </c>
      <c r="S12" s="11">
        <f t="shared" si="6"/>
        <v>-529.7877314814816</v>
      </c>
      <c r="T12" s="11">
        <f t="shared" si="6"/>
        <v>-551.8842592592594</v>
      </c>
    </row>
    <row r="13" spans="1:20" ht="18" customHeight="1">
      <c r="A13" s="19"/>
      <c r="B13" s="20"/>
      <c r="C13" s="11" t="s">
        <v>49</v>
      </c>
      <c r="D13" s="8">
        <f aca="true" t="shared" si="7" ref="D13:T13">D$12/(D$7*D$6)</f>
        <v>-220.25321729741523</v>
      </c>
      <c r="E13" s="8">
        <f t="shared" si="7"/>
        <v>-267.67411789084764</v>
      </c>
      <c r="F13" s="8">
        <f t="shared" si="7"/>
        <v>-312.37915759573275</v>
      </c>
      <c r="G13" s="8">
        <f t="shared" si="7"/>
        <v>-354.51709007961085</v>
      </c>
      <c r="H13" s="8">
        <f t="shared" si="7"/>
        <v>-394.2260003713759</v>
      </c>
      <c r="I13" s="8">
        <f t="shared" si="7"/>
        <v>-431.63424445998095</v>
      </c>
      <c r="J13" s="8">
        <f t="shared" si="7"/>
        <v>-466.8612913102048</v>
      </c>
      <c r="K13" s="8">
        <f t="shared" si="7"/>
        <v>-500.0184789179685</v>
      </c>
      <c r="L13" s="8">
        <f t="shared" si="7"/>
        <v>-531.2096944721233</v>
      </c>
      <c r="M13" s="8">
        <f t="shared" si="7"/>
        <v>-560.53198736443</v>
      </c>
      <c r="N13" s="8">
        <f t="shared" si="7"/>
        <v>-588.0761226573354</v>
      </c>
      <c r="O13" s="8">
        <f t="shared" si="7"/>
        <v>-613.9270816493361</v>
      </c>
      <c r="P13" s="8">
        <f t="shared" si="7"/>
        <v>-638.1645153447959</v>
      </c>
      <c r="Q13" s="8">
        <f t="shared" si="7"/>
        <v>-660.8631559178682</v>
      </c>
      <c r="R13" s="8">
        <f t="shared" si="7"/>
        <v>-682.0931906411215</v>
      </c>
      <c r="S13" s="8">
        <f t="shared" si="7"/>
        <v>-701.9206022138319</v>
      </c>
      <c r="T13" s="8">
        <f t="shared" si="7"/>
        <v>-720.4074789604272</v>
      </c>
    </row>
    <row r="14" spans="1:20" ht="18" customHeight="1">
      <c r="A14" s="19"/>
      <c r="B14" s="20"/>
      <c r="C14" s="11" t="s">
        <v>50</v>
      </c>
      <c r="D14" s="8" t="str">
        <f>IF(D$13&lt;-1920,"défaut Pmax elec","Pmax OK")</f>
        <v>Pmax OK</v>
      </c>
      <c r="E14" s="8" t="str">
        <f aca="true" t="shared" si="8" ref="E14:T14">IF(E$13&lt;-1920,"défaut Pmax elec","Pmax OK")</f>
        <v>Pmax OK</v>
      </c>
      <c r="F14" s="8" t="str">
        <f t="shared" si="8"/>
        <v>Pmax OK</v>
      </c>
      <c r="G14" s="8" t="str">
        <f t="shared" si="8"/>
        <v>Pmax OK</v>
      </c>
      <c r="H14" s="8" t="str">
        <f t="shared" si="8"/>
        <v>Pmax OK</v>
      </c>
      <c r="I14" s="8" t="str">
        <f t="shared" si="8"/>
        <v>Pmax OK</v>
      </c>
      <c r="J14" s="8" t="str">
        <f t="shared" si="8"/>
        <v>Pmax OK</v>
      </c>
      <c r="K14" s="8" t="str">
        <f t="shared" si="8"/>
        <v>Pmax OK</v>
      </c>
      <c r="L14" s="8" t="str">
        <f t="shared" si="8"/>
        <v>Pmax OK</v>
      </c>
      <c r="M14" s="8" t="str">
        <f t="shared" si="8"/>
        <v>Pmax OK</v>
      </c>
      <c r="N14" s="8" t="str">
        <f t="shared" si="8"/>
        <v>Pmax OK</v>
      </c>
      <c r="O14" s="8" t="str">
        <f t="shared" si="8"/>
        <v>Pmax OK</v>
      </c>
      <c r="P14" s="8" t="str">
        <f t="shared" si="8"/>
        <v>Pmax OK</v>
      </c>
      <c r="Q14" s="8" t="str">
        <f t="shared" si="8"/>
        <v>Pmax OK</v>
      </c>
      <c r="R14" s="8" t="str">
        <f t="shared" si="8"/>
        <v>Pmax OK</v>
      </c>
      <c r="S14" s="8" t="str">
        <f t="shared" si="8"/>
        <v>Pmax OK</v>
      </c>
      <c r="T14" s="8" t="str">
        <f t="shared" si="8"/>
        <v>Pmax OK</v>
      </c>
    </row>
    <row r="15" spans="1:20" ht="18" customHeight="1">
      <c r="A15" s="68" t="s">
        <v>29</v>
      </c>
      <c r="B15" s="69"/>
      <c r="C15" s="3" t="s">
        <v>27</v>
      </c>
      <c r="D15" s="10">
        <f>ABS($X$43/D$13)</f>
        <v>14.528732153224048</v>
      </c>
      <c r="E15" s="10">
        <f aca="true" t="shared" si="9" ref="E15:T15">ABS($X$43/E$13)</f>
        <v>11.954835324440664</v>
      </c>
      <c r="F15" s="10">
        <f t="shared" si="9"/>
        <v>10.243961295719025</v>
      </c>
      <c r="G15" s="10">
        <f t="shared" si="9"/>
        <v>9.0263631558112</v>
      </c>
      <c r="H15" s="10">
        <f t="shared" si="9"/>
        <v>8.117171361060604</v>
      </c>
      <c r="I15" s="10">
        <f t="shared" si="9"/>
        <v>7.413684250200145</v>
      </c>
      <c r="J15" s="10">
        <f t="shared" si="9"/>
        <v>6.854284258648824</v>
      </c>
      <c r="K15" s="10">
        <f t="shared" si="9"/>
        <v>6.399763478591323</v>
      </c>
      <c r="L15" s="10">
        <f t="shared" si="9"/>
        <v>6.02398644697161</v>
      </c>
      <c r="M15" s="10">
        <f t="shared" si="9"/>
        <v>5.708862423795128</v>
      </c>
      <c r="N15" s="10">
        <f t="shared" si="9"/>
        <v>5.441472416088215</v>
      </c>
      <c r="O15" s="10">
        <f t="shared" si="9"/>
        <v>5.21234540004831</v>
      </c>
      <c r="P15" s="10">
        <f t="shared" si="9"/>
        <v>5.0143809676899105</v>
      </c>
      <c r="Q15" s="10">
        <f t="shared" si="9"/>
        <v>4.842152223716486</v>
      </c>
      <c r="R15" s="10">
        <f t="shared" si="9"/>
        <v>4.691441058064538</v>
      </c>
      <c r="S15" s="10">
        <f t="shared" si="9"/>
        <v>4.558920182578082</v>
      </c>
      <c r="T15" s="10">
        <f t="shared" si="9"/>
        <v>4.4419305649320995</v>
      </c>
    </row>
    <row r="16" spans="1:20" ht="18" customHeight="1">
      <c r="A16" s="70"/>
      <c r="B16" s="71"/>
      <c r="C16" s="3" t="s">
        <v>28</v>
      </c>
      <c r="D16" s="3">
        <f aca="true" t="shared" si="10" ref="D16:T16">D$4*D$15</f>
        <v>145.28732153224047</v>
      </c>
      <c r="E16" s="3">
        <f t="shared" si="10"/>
        <v>149.4354415555083</v>
      </c>
      <c r="F16" s="3">
        <f t="shared" si="10"/>
        <v>153.65941943578537</v>
      </c>
      <c r="G16" s="3">
        <f t="shared" si="10"/>
        <v>157.961355226696</v>
      </c>
      <c r="H16" s="3">
        <f t="shared" si="10"/>
        <v>162.3434272212121</v>
      </c>
      <c r="I16" s="3">
        <f t="shared" si="10"/>
        <v>166.80789562950326</v>
      </c>
      <c r="J16" s="3">
        <f t="shared" si="10"/>
        <v>171.35710646622059</v>
      </c>
      <c r="K16" s="3">
        <f t="shared" si="10"/>
        <v>175.9934956612614</v>
      </c>
      <c r="L16" s="3">
        <f t="shared" si="10"/>
        <v>180.7195934091483</v>
      </c>
      <c r="M16" s="3">
        <f t="shared" si="10"/>
        <v>185.53802877334167</v>
      </c>
      <c r="N16" s="3">
        <f t="shared" si="10"/>
        <v>190.4515345630875</v>
      </c>
      <c r="O16" s="3">
        <f t="shared" si="10"/>
        <v>195.46295250181163</v>
      </c>
      <c r="P16" s="3">
        <f t="shared" si="10"/>
        <v>200.5752387075964</v>
      </c>
      <c r="Q16" s="3">
        <f t="shared" si="10"/>
        <v>205.79146950795064</v>
      </c>
      <c r="R16" s="3">
        <f t="shared" si="10"/>
        <v>211.1148476129042</v>
      </c>
      <c r="S16" s="3">
        <f t="shared" si="10"/>
        <v>216.5487086724589</v>
      </c>
      <c r="T16" s="3">
        <f t="shared" si="10"/>
        <v>222.09652824660498</v>
      </c>
    </row>
    <row r="17" ht="8.25" customHeight="1"/>
    <row r="18" spans="1:20" ht="18" customHeight="1">
      <c r="A18" s="3" t="s">
        <v>30</v>
      </c>
      <c r="B18" s="6">
        <v>0.08</v>
      </c>
      <c r="C18" s="3" t="s">
        <v>14</v>
      </c>
      <c r="D18" s="3">
        <f>-$X$36*$X$37*$B$18*D$5</f>
        <v>-305.20000000000005</v>
      </c>
      <c r="E18" s="3">
        <f aca="true" t="shared" si="11" ref="E18:T18">-$X$36*$X$37*$B$18*E$5</f>
        <v>-381.50000000000006</v>
      </c>
      <c r="F18" s="3">
        <f t="shared" si="11"/>
        <v>-457.80000000000007</v>
      </c>
      <c r="G18" s="3">
        <f t="shared" si="11"/>
        <v>-534.1</v>
      </c>
      <c r="H18" s="3">
        <f t="shared" si="11"/>
        <v>-610.4000000000001</v>
      </c>
      <c r="I18" s="3">
        <f t="shared" si="11"/>
        <v>-686.7</v>
      </c>
      <c r="J18" s="3">
        <f t="shared" si="11"/>
        <v>-763.0000000000001</v>
      </c>
      <c r="K18" s="3">
        <f t="shared" si="11"/>
        <v>-839.3000000000001</v>
      </c>
      <c r="L18" s="3">
        <f t="shared" si="11"/>
        <v>-915.6000000000001</v>
      </c>
      <c r="M18" s="3">
        <f t="shared" si="11"/>
        <v>-991.9</v>
      </c>
      <c r="N18" s="3">
        <f t="shared" si="11"/>
        <v>-1068.2</v>
      </c>
      <c r="O18" s="3">
        <f t="shared" si="11"/>
        <v>-1144.5</v>
      </c>
      <c r="P18" s="3">
        <f t="shared" si="11"/>
        <v>-1220.8000000000002</v>
      </c>
      <c r="Q18" s="3">
        <f t="shared" si="11"/>
        <v>-1297.1000000000001</v>
      </c>
      <c r="R18" s="3">
        <f t="shared" si="11"/>
        <v>-1373.4</v>
      </c>
      <c r="S18" s="3">
        <f t="shared" si="11"/>
        <v>-1449.7000000000003</v>
      </c>
      <c r="T18" s="3">
        <f t="shared" si="11"/>
        <v>-1526.0000000000002</v>
      </c>
    </row>
    <row r="19" spans="1:20" ht="18" customHeight="1">
      <c r="A19" s="3"/>
      <c r="B19" s="6"/>
      <c r="C19" s="3" t="s">
        <v>15</v>
      </c>
      <c r="D19" s="3">
        <f>0.5*$X$35*$X$27*$X$28*D$5*D$5</f>
        <v>4.629629629629629</v>
      </c>
      <c r="E19" s="3">
        <f aca="true" t="shared" si="12" ref="E19:T19">0.5*$X$35*$X$27*$X$28*E$5*E$5</f>
        <v>7.233796296296297</v>
      </c>
      <c r="F19" s="3">
        <f t="shared" si="12"/>
        <v>10.416666666666668</v>
      </c>
      <c r="G19" s="3">
        <f t="shared" si="12"/>
        <v>14.178240740740739</v>
      </c>
      <c r="H19" s="3">
        <f t="shared" si="12"/>
        <v>18.518518518518515</v>
      </c>
      <c r="I19" s="3">
        <f t="shared" si="12"/>
        <v>23.4375</v>
      </c>
      <c r="J19" s="3">
        <f t="shared" si="12"/>
        <v>28.935185185185187</v>
      </c>
      <c r="K19" s="3">
        <f t="shared" si="12"/>
        <v>35.01157407407407</v>
      </c>
      <c r="L19" s="3">
        <f t="shared" si="12"/>
        <v>41.66666666666667</v>
      </c>
      <c r="M19" s="3">
        <f t="shared" si="12"/>
        <v>48.900462962962955</v>
      </c>
      <c r="N19" s="3">
        <f t="shared" si="12"/>
        <v>56.712962962962955</v>
      </c>
      <c r="O19" s="3">
        <f t="shared" si="12"/>
        <v>65.10416666666666</v>
      </c>
      <c r="P19" s="3">
        <f t="shared" si="12"/>
        <v>74.07407407407406</v>
      </c>
      <c r="Q19" s="3">
        <f t="shared" si="12"/>
        <v>83.62268518518518</v>
      </c>
      <c r="R19" s="3">
        <f t="shared" si="12"/>
        <v>93.75</v>
      </c>
      <c r="S19" s="3">
        <f t="shared" si="12"/>
        <v>104.45601851851852</v>
      </c>
      <c r="T19" s="3">
        <f t="shared" si="12"/>
        <v>115.74074074074075</v>
      </c>
    </row>
    <row r="20" spans="1:20" ht="18" customHeight="1">
      <c r="A20" s="3"/>
      <c r="B20" s="6"/>
      <c r="C20" s="3" t="s">
        <v>16</v>
      </c>
      <c r="D20" s="3">
        <f>$X$38*$X$36*$X$37*D$5</f>
        <v>19.075000000000003</v>
      </c>
      <c r="E20" s="3">
        <f aca="true" t="shared" si="13" ref="E20:T20">$X$38*$X$36*$X$37*E$5</f>
        <v>23.843750000000004</v>
      </c>
      <c r="F20" s="3">
        <f t="shared" si="13"/>
        <v>28.612500000000004</v>
      </c>
      <c r="G20" s="3">
        <f t="shared" si="13"/>
        <v>33.38125</v>
      </c>
      <c r="H20" s="3">
        <f t="shared" si="13"/>
        <v>38.150000000000006</v>
      </c>
      <c r="I20" s="3">
        <f t="shared" si="13"/>
        <v>42.91875</v>
      </c>
      <c r="J20" s="3">
        <f t="shared" si="13"/>
        <v>47.68750000000001</v>
      </c>
      <c r="K20" s="3">
        <f t="shared" si="13"/>
        <v>52.456250000000004</v>
      </c>
      <c r="L20" s="3">
        <f t="shared" si="13"/>
        <v>57.22500000000001</v>
      </c>
      <c r="M20" s="3">
        <f t="shared" si="13"/>
        <v>61.99375</v>
      </c>
      <c r="N20" s="3">
        <f t="shared" si="13"/>
        <v>66.7625</v>
      </c>
      <c r="O20" s="3">
        <f t="shared" si="13"/>
        <v>71.53125</v>
      </c>
      <c r="P20" s="3">
        <f t="shared" si="13"/>
        <v>76.30000000000001</v>
      </c>
      <c r="Q20" s="3">
        <f t="shared" si="13"/>
        <v>81.06875000000001</v>
      </c>
      <c r="R20" s="3">
        <f t="shared" si="13"/>
        <v>85.8375</v>
      </c>
      <c r="S20" s="3">
        <f t="shared" si="13"/>
        <v>90.60625000000002</v>
      </c>
      <c r="T20" s="3">
        <f t="shared" si="13"/>
        <v>95.37500000000001</v>
      </c>
    </row>
    <row r="21" spans="1:20" ht="18" customHeight="1">
      <c r="A21" s="3"/>
      <c r="B21" s="6"/>
      <c r="C21" s="5" t="s">
        <v>17</v>
      </c>
      <c r="D21" s="11">
        <f aca="true" t="shared" si="14" ref="D21:T21">D18+D19+D20</f>
        <v>-281.49537037037044</v>
      </c>
      <c r="E21" s="11">
        <f t="shared" si="14"/>
        <v>-350.42245370370375</v>
      </c>
      <c r="F21" s="11">
        <f t="shared" si="14"/>
        <v>-418.77083333333337</v>
      </c>
      <c r="G21" s="11">
        <f t="shared" si="14"/>
        <v>-486.54050925925924</v>
      </c>
      <c r="H21" s="11">
        <f t="shared" si="14"/>
        <v>-553.7314814814816</v>
      </c>
      <c r="I21" s="11">
        <f t="shared" si="14"/>
        <v>-620.34375</v>
      </c>
      <c r="J21" s="11">
        <f t="shared" si="14"/>
        <v>-686.3773148148149</v>
      </c>
      <c r="K21" s="11">
        <f t="shared" si="14"/>
        <v>-751.8321759259261</v>
      </c>
      <c r="L21" s="11">
        <f t="shared" si="14"/>
        <v>-816.7083333333335</v>
      </c>
      <c r="M21" s="11">
        <f t="shared" si="14"/>
        <v>-881.0057870370371</v>
      </c>
      <c r="N21" s="11">
        <f t="shared" si="14"/>
        <v>-944.7245370370371</v>
      </c>
      <c r="O21" s="11">
        <f t="shared" si="14"/>
        <v>-1007.8645833333333</v>
      </c>
      <c r="P21" s="11">
        <f t="shared" si="14"/>
        <v>-1070.425925925926</v>
      </c>
      <c r="Q21" s="11">
        <f t="shared" si="14"/>
        <v>-1132.408564814815</v>
      </c>
      <c r="R21" s="11">
        <f t="shared" si="14"/>
        <v>-1193.8125</v>
      </c>
      <c r="S21" s="11">
        <f t="shared" si="14"/>
        <v>-1254.6377314814818</v>
      </c>
      <c r="T21" s="11">
        <f t="shared" si="14"/>
        <v>-1314.8842592592596</v>
      </c>
    </row>
    <row r="22" spans="1:20" ht="18" customHeight="1">
      <c r="A22" s="19"/>
      <c r="B22" s="20"/>
      <c r="C22" s="11" t="s">
        <v>49</v>
      </c>
      <c r="D22" s="8">
        <f aca="true" t="shared" si="15" ref="D22:T22">D$21/(D$7*D$6)</f>
        <v>-481.01231875317825</v>
      </c>
      <c r="E22" s="8">
        <f t="shared" si="15"/>
        <v>-587.4464818981457</v>
      </c>
      <c r="F22" s="8">
        <f t="shared" si="15"/>
        <v>-688.9698530614918</v>
      </c>
      <c r="G22" s="8">
        <f t="shared" si="15"/>
        <v>-785.8514071089301</v>
      </c>
      <c r="H22" s="8">
        <f t="shared" si="15"/>
        <v>-878.3408279824971</v>
      </c>
      <c r="I22" s="8">
        <f t="shared" si="15"/>
        <v>-966.6702076733546</v>
      </c>
      <c r="J22" s="8">
        <f t="shared" si="15"/>
        <v>-1051.055568746121</v>
      </c>
      <c r="K22" s="8">
        <f t="shared" si="15"/>
        <v>-1131.6982314303868</v>
      </c>
      <c r="L22" s="8">
        <f t="shared" si="15"/>
        <v>-1208.7860434823294</v>
      </c>
      <c r="M22" s="8">
        <f t="shared" si="15"/>
        <v>-1282.4944886231106</v>
      </c>
      <c r="N22" s="8">
        <f t="shared" si="15"/>
        <v>-1352.9876873136693</v>
      </c>
      <c r="O22" s="8">
        <f t="shared" si="15"/>
        <v>-1420.4193018719125</v>
      </c>
      <c r="P22" s="8">
        <f t="shared" si="15"/>
        <v>-1484.933356432215</v>
      </c>
      <c r="Q22" s="8">
        <f t="shared" si="15"/>
        <v>-1546.6649809502946</v>
      </c>
      <c r="R22" s="8">
        <f t="shared" si="15"/>
        <v>-1605.7410873371366</v>
      </c>
      <c r="S22" s="8">
        <f t="shared" si="15"/>
        <v>-1662.2809848371514</v>
      </c>
      <c r="T22" s="8">
        <f t="shared" si="15"/>
        <v>-1716.3969409258327</v>
      </c>
    </row>
    <row r="23" spans="1:20" ht="18" customHeight="1">
      <c r="A23" s="19"/>
      <c r="B23" s="20"/>
      <c r="C23" s="11" t="s">
        <v>50</v>
      </c>
      <c r="D23" s="8" t="str">
        <f>IF(D$22&lt;-1920,"défaut Pmax elec","Pmax OK")</f>
        <v>Pmax OK</v>
      </c>
      <c r="E23" s="8" t="str">
        <f aca="true" t="shared" si="16" ref="E23:T23">IF(E$22&lt;-1920,"défaut Pmax elec","Pmax OK")</f>
        <v>Pmax OK</v>
      </c>
      <c r="F23" s="8" t="str">
        <f t="shared" si="16"/>
        <v>Pmax OK</v>
      </c>
      <c r="G23" s="8" t="str">
        <f t="shared" si="16"/>
        <v>Pmax OK</v>
      </c>
      <c r="H23" s="8" t="str">
        <f t="shared" si="16"/>
        <v>Pmax OK</v>
      </c>
      <c r="I23" s="8" t="str">
        <f t="shared" si="16"/>
        <v>Pmax OK</v>
      </c>
      <c r="J23" s="8" t="str">
        <f t="shared" si="16"/>
        <v>Pmax OK</v>
      </c>
      <c r="K23" s="8" t="str">
        <f t="shared" si="16"/>
        <v>Pmax OK</v>
      </c>
      <c r="L23" s="8" t="str">
        <f t="shared" si="16"/>
        <v>Pmax OK</v>
      </c>
      <c r="M23" s="8" t="str">
        <f t="shared" si="16"/>
        <v>Pmax OK</v>
      </c>
      <c r="N23" s="8" t="str">
        <f t="shared" si="16"/>
        <v>Pmax OK</v>
      </c>
      <c r="O23" s="8" t="str">
        <f t="shared" si="16"/>
        <v>Pmax OK</v>
      </c>
      <c r="P23" s="8" t="str">
        <f t="shared" si="16"/>
        <v>Pmax OK</v>
      </c>
      <c r="Q23" s="8" t="str">
        <f t="shared" si="16"/>
        <v>Pmax OK</v>
      </c>
      <c r="R23" s="8" t="str">
        <f t="shared" si="16"/>
        <v>Pmax OK</v>
      </c>
      <c r="S23" s="8" t="str">
        <f t="shared" si="16"/>
        <v>Pmax OK</v>
      </c>
      <c r="T23" s="8" t="str">
        <f t="shared" si="16"/>
        <v>Pmax OK</v>
      </c>
    </row>
    <row r="24" spans="1:20" ht="18" customHeight="1">
      <c r="A24" s="68" t="s">
        <v>29</v>
      </c>
      <c r="B24" s="69"/>
      <c r="C24" s="3" t="s">
        <v>27</v>
      </c>
      <c r="D24" s="10">
        <f>ABS($X$43/D$22)</f>
        <v>6.652636274045229</v>
      </c>
      <c r="E24" s="10">
        <f aca="true" t="shared" si="17" ref="E24:T24">ABS($X$43/E$22)</f>
        <v>5.447304730909651</v>
      </c>
      <c r="F24" s="10">
        <f t="shared" si="17"/>
        <v>4.64461541500045</v>
      </c>
      <c r="G24" s="10">
        <f t="shared" si="17"/>
        <v>4.072016631964158</v>
      </c>
      <c r="H24" s="10">
        <f t="shared" si="17"/>
        <v>3.643232670113073</v>
      </c>
      <c r="I24" s="10">
        <f t="shared" si="17"/>
        <v>3.3103327014721704</v>
      </c>
      <c r="J24" s="10">
        <f t="shared" si="17"/>
        <v>3.044558342255403</v>
      </c>
      <c r="K24" s="10">
        <f t="shared" si="17"/>
        <v>2.827608907681534</v>
      </c>
      <c r="L24" s="10">
        <f t="shared" si="17"/>
        <v>2.6472840394328885</v>
      </c>
      <c r="M24" s="10">
        <f t="shared" si="17"/>
        <v>2.4951374281814873</v>
      </c>
      <c r="N24" s="10">
        <f t="shared" si="17"/>
        <v>2.365136083650205</v>
      </c>
      <c r="O24" s="10">
        <f t="shared" si="17"/>
        <v>2.2528558966939207</v>
      </c>
      <c r="P24" s="10">
        <f t="shared" si="17"/>
        <v>2.15497886564317</v>
      </c>
      <c r="Q24" s="10">
        <f t="shared" si="17"/>
        <v>2.0689677722152027</v>
      </c>
      <c r="R24" s="10">
        <f t="shared" si="17"/>
        <v>1.9928492988285462</v>
      </c>
      <c r="S24" s="10">
        <f t="shared" si="17"/>
        <v>1.9250656352262214</v>
      </c>
      <c r="T24" s="10">
        <f t="shared" si="17"/>
        <v>1.8643706031507519</v>
      </c>
    </row>
    <row r="25" spans="1:24" ht="18" customHeight="1">
      <c r="A25" s="70"/>
      <c r="B25" s="71"/>
      <c r="C25" s="3" t="s">
        <v>28</v>
      </c>
      <c r="D25" s="3">
        <f aca="true" t="shared" si="18" ref="D25:T25">D$4*D$24</f>
        <v>66.5263627404523</v>
      </c>
      <c r="E25" s="3">
        <f t="shared" si="18"/>
        <v>68.09130913637064</v>
      </c>
      <c r="F25" s="3">
        <f t="shared" si="18"/>
        <v>69.66923122500675</v>
      </c>
      <c r="G25" s="3">
        <f t="shared" si="18"/>
        <v>71.26029105937276</v>
      </c>
      <c r="H25" s="3">
        <f t="shared" si="18"/>
        <v>72.86465340226145</v>
      </c>
      <c r="I25" s="3">
        <f t="shared" si="18"/>
        <v>74.48248578312383</v>
      </c>
      <c r="J25" s="3">
        <f t="shared" si="18"/>
        <v>76.11395855638507</v>
      </c>
      <c r="K25" s="3">
        <f t="shared" si="18"/>
        <v>77.75924496124219</v>
      </c>
      <c r="L25" s="3">
        <f t="shared" si="18"/>
        <v>79.41852118298665</v>
      </c>
      <c r="M25" s="3">
        <f t="shared" si="18"/>
        <v>81.09196641589834</v>
      </c>
      <c r="N25" s="3">
        <f t="shared" si="18"/>
        <v>82.77976292775718</v>
      </c>
      <c r="O25" s="3">
        <f t="shared" si="18"/>
        <v>84.48209612602203</v>
      </c>
      <c r="P25" s="3">
        <f t="shared" si="18"/>
        <v>86.19915462572679</v>
      </c>
      <c r="Q25" s="3">
        <f t="shared" si="18"/>
        <v>87.93113031914612</v>
      </c>
      <c r="R25" s="3">
        <f t="shared" si="18"/>
        <v>89.67821844728458</v>
      </c>
      <c r="S25" s="3">
        <f t="shared" si="18"/>
        <v>91.44061767324551</v>
      </c>
      <c r="T25" s="3">
        <f t="shared" si="18"/>
        <v>93.2185301575376</v>
      </c>
      <c r="W25" s="2"/>
      <c r="X25" s="1" t="s">
        <v>1</v>
      </c>
    </row>
    <row r="26" ht="8.25" customHeight="1">
      <c r="W26" s="2"/>
    </row>
    <row r="27" spans="1:24" ht="18" customHeight="1">
      <c r="A27" s="3" t="s">
        <v>30</v>
      </c>
      <c r="B27" s="6">
        <v>0.12</v>
      </c>
      <c r="C27" s="3" t="s">
        <v>14</v>
      </c>
      <c r="D27" s="3">
        <f>-$X$37*$X$36*$B$27*D$5</f>
        <v>-457.79999999999995</v>
      </c>
      <c r="E27" s="3">
        <f aca="true" t="shared" si="19" ref="E27:T27">-$X$37*$X$36*$B$27*E$5</f>
        <v>-572.25</v>
      </c>
      <c r="F27" s="3">
        <f t="shared" si="19"/>
        <v>-686.7</v>
      </c>
      <c r="G27" s="3">
        <f t="shared" si="19"/>
        <v>-801.1499999999999</v>
      </c>
      <c r="H27" s="3">
        <f t="shared" si="19"/>
        <v>-915.5999999999999</v>
      </c>
      <c r="I27" s="3">
        <f t="shared" si="19"/>
        <v>-1030.05</v>
      </c>
      <c r="J27" s="3">
        <f t="shared" si="19"/>
        <v>-1144.5</v>
      </c>
      <c r="K27" s="3">
        <f t="shared" si="19"/>
        <v>-1258.9499999999998</v>
      </c>
      <c r="L27" s="3">
        <f t="shared" si="19"/>
        <v>-1373.4</v>
      </c>
      <c r="M27" s="3">
        <f t="shared" si="19"/>
        <v>-1487.8499999999997</v>
      </c>
      <c r="N27" s="3">
        <f t="shared" si="19"/>
        <v>-1602.2999999999997</v>
      </c>
      <c r="O27" s="3">
        <f t="shared" si="19"/>
        <v>-1716.7499999999998</v>
      </c>
      <c r="P27" s="3">
        <f t="shared" si="19"/>
        <v>-1831.1999999999998</v>
      </c>
      <c r="Q27" s="3">
        <f t="shared" si="19"/>
        <v>-1945.6499999999999</v>
      </c>
      <c r="R27" s="3">
        <f t="shared" si="19"/>
        <v>-2060.1</v>
      </c>
      <c r="S27" s="3">
        <f t="shared" si="19"/>
        <v>-2174.5499999999997</v>
      </c>
      <c r="T27" s="3">
        <f t="shared" si="19"/>
        <v>-2289</v>
      </c>
      <c r="W27" s="2" t="s">
        <v>2</v>
      </c>
      <c r="X27" s="1">
        <v>1.2</v>
      </c>
    </row>
    <row r="28" spans="1:24" ht="18" customHeight="1">
      <c r="A28" s="3"/>
      <c r="B28" s="6"/>
      <c r="C28" s="3" t="s">
        <v>15</v>
      </c>
      <c r="D28" s="3">
        <f>0.5*$X$35*$X$27*$X$28*D$5*D$5</f>
        <v>4.629629629629629</v>
      </c>
      <c r="E28" s="3">
        <f aca="true" t="shared" si="20" ref="E28:T28">0.5*$X$35*$X$27*$X$28*E$5*E$5</f>
        <v>7.233796296296297</v>
      </c>
      <c r="F28" s="3">
        <f t="shared" si="20"/>
        <v>10.416666666666668</v>
      </c>
      <c r="G28" s="3">
        <f t="shared" si="20"/>
        <v>14.178240740740739</v>
      </c>
      <c r="H28" s="3">
        <f t="shared" si="20"/>
        <v>18.518518518518515</v>
      </c>
      <c r="I28" s="3">
        <f t="shared" si="20"/>
        <v>23.4375</v>
      </c>
      <c r="J28" s="3">
        <f t="shared" si="20"/>
        <v>28.935185185185187</v>
      </c>
      <c r="K28" s="3">
        <f t="shared" si="20"/>
        <v>35.01157407407407</v>
      </c>
      <c r="L28" s="3">
        <f t="shared" si="20"/>
        <v>41.66666666666667</v>
      </c>
      <c r="M28" s="3">
        <f t="shared" si="20"/>
        <v>48.900462962962955</v>
      </c>
      <c r="N28" s="3">
        <f t="shared" si="20"/>
        <v>56.712962962962955</v>
      </c>
      <c r="O28" s="3">
        <f t="shared" si="20"/>
        <v>65.10416666666666</v>
      </c>
      <c r="P28" s="3">
        <f t="shared" si="20"/>
        <v>74.07407407407406</v>
      </c>
      <c r="Q28" s="3">
        <f t="shared" si="20"/>
        <v>83.62268518518518</v>
      </c>
      <c r="R28" s="3">
        <f t="shared" si="20"/>
        <v>93.75</v>
      </c>
      <c r="S28" s="3">
        <f t="shared" si="20"/>
        <v>104.45601851851852</v>
      </c>
      <c r="T28" s="3">
        <f t="shared" si="20"/>
        <v>115.74074074074075</v>
      </c>
      <c r="W28" s="2" t="s">
        <v>3</v>
      </c>
      <c r="X28" s="1">
        <v>0.5</v>
      </c>
    </row>
    <row r="29" spans="1:23" ht="18" customHeight="1">
      <c r="A29" s="3"/>
      <c r="B29" s="6"/>
      <c r="C29" s="3" t="s">
        <v>16</v>
      </c>
      <c r="D29" s="3">
        <f>$X$38*$X$36*$X$37*D$5</f>
        <v>19.075000000000003</v>
      </c>
      <c r="E29" s="3">
        <f aca="true" t="shared" si="21" ref="E29:T29">$X$38*$X$36*$X$37*E$5</f>
        <v>23.843750000000004</v>
      </c>
      <c r="F29" s="3">
        <f t="shared" si="21"/>
        <v>28.612500000000004</v>
      </c>
      <c r="G29" s="3">
        <f t="shared" si="21"/>
        <v>33.38125</v>
      </c>
      <c r="H29" s="3">
        <f t="shared" si="21"/>
        <v>38.150000000000006</v>
      </c>
      <c r="I29" s="3">
        <f t="shared" si="21"/>
        <v>42.91875</v>
      </c>
      <c r="J29" s="3">
        <f t="shared" si="21"/>
        <v>47.68750000000001</v>
      </c>
      <c r="K29" s="3">
        <f t="shared" si="21"/>
        <v>52.456250000000004</v>
      </c>
      <c r="L29" s="3">
        <f t="shared" si="21"/>
        <v>57.22500000000001</v>
      </c>
      <c r="M29" s="3">
        <f t="shared" si="21"/>
        <v>61.99375</v>
      </c>
      <c r="N29" s="3">
        <f t="shared" si="21"/>
        <v>66.7625</v>
      </c>
      <c r="O29" s="3">
        <f t="shared" si="21"/>
        <v>71.53125</v>
      </c>
      <c r="P29" s="3">
        <f t="shared" si="21"/>
        <v>76.30000000000001</v>
      </c>
      <c r="Q29" s="3">
        <f t="shared" si="21"/>
        <v>81.06875000000001</v>
      </c>
      <c r="R29" s="3">
        <f t="shared" si="21"/>
        <v>85.8375</v>
      </c>
      <c r="S29" s="3">
        <f t="shared" si="21"/>
        <v>90.60625000000002</v>
      </c>
      <c r="T29" s="3">
        <f t="shared" si="21"/>
        <v>95.37500000000001</v>
      </c>
      <c r="W29" s="2"/>
    </row>
    <row r="30" spans="1:23" ht="18" customHeight="1">
      <c r="A30" s="3"/>
      <c r="B30" s="6"/>
      <c r="C30" s="5" t="s">
        <v>17</v>
      </c>
      <c r="D30" s="11">
        <f aca="true" t="shared" si="22" ref="D30:T30">D27+D28+D29</f>
        <v>-434.09537037037035</v>
      </c>
      <c r="E30" s="11">
        <f t="shared" si="22"/>
        <v>-541.1724537037037</v>
      </c>
      <c r="F30" s="11">
        <f t="shared" si="22"/>
        <v>-647.6708333333335</v>
      </c>
      <c r="G30" s="11">
        <f t="shared" si="22"/>
        <v>-753.5905092592591</v>
      </c>
      <c r="H30" s="11">
        <f t="shared" si="22"/>
        <v>-858.9314814814815</v>
      </c>
      <c r="I30" s="11">
        <f t="shared" si="22"/>
        <v>-963.6937499999999</v>
      </c>
      <c r="J30" s="11">
        <f t="shared" si="22"/>
        <v>-1067.8773148148148</v>
      </c>
      <c r="K30" s="11">
        <f t="shared" si="22"/>
        <v>-1171.4821759259257</v>
      </c>
      <c r="L30" s="11">
        <f t="shared" si="22"/>
        <v>-1274.5083333333334</v>
      </c>
      <c r="M30" s="11">
        <f t="shared" si="22"/>
        <v>-1376.9557870370365</v>
      </c>
      <c r="N30" s="11">
        <f t="shared" si="22"/>
        <v>-1478.8245370370366</v>
      </c>
      <c r="O30" s="11">
        <f t="shared" si="22"/>
        <v>-1580.114583333333</v>
      </c>
      <c r="P30" s="11">
        <f t="shared" si="22"/>
        <v>-1680.8259259259257</v>
      </c>
      <c r="Q30" s="11">
        <f t="shared" si="22"/>
        <v>-1780.9585648148147</v>
      </c>
      <c r="R30" s="11">
        <f t="shared" si="22"/>
        <v>-1880.5124999999998</v>
      </c>
      <c r="S30" s="11">
        <f t="shared" si="22"/>
        <v>-1979.487731481481</v>
      </c>
      <c r="T30" s="11">
        <f t="shared" si="22"/>
        <v>-2077.884259259259</v>
      </c>
      <c r="W30" s="2"/>
    </row>
    <row r="31" spans="1:23" ht="18" customHeight="1">
      <c r="A31" s="19"/>
      <c r="B31" s="20"/>
      <c r="C31" s="11" t="s">
        <v>49</v>
      </c>
      <c r="D31" s="8">
        <f aca="true" t="shared" si="23" ref="D31:T31">D$30/(D$7*D$6)</f>
        <v>-741.7714202089411</v>
      </c>
      <c r="E31" s="8">
        <f t="shared" si="23"/>
        <v>-907.2188459054437</v>
      </c>
      <c r="F31" s="8">
        <f t="shared" si="23"/>
        <v>-1065.5605485272508</v>
      </c>
      <c r="G31" s="8">
        <f t="shared" si="23"/>
        <v>-1217.185724138249</v>
      </c>
      <c r="H31" s="8">
        <f t="shared" si="23"/>
        <v>-1362.4556555936178</v>
      </c>
      <c r="I31" s="8">
        <f t="shared" si="23"/>
        <v>-1501.7061708867282</v>
      </c>
      <c r="J31" s="8">
        <f t="shared" si="23"/>
        <v>-1635.2498461820371</v>
      </c>
      <c r="K31" s="8">
        <f t="shared" si="23"/>
        <v>-1763.3779839428046</v>
      </c>
      <c r="L31" s="8">
        <f t="shared" si="23"/>
        <v>-1886.3623924925353</v>
      </c>
      <c r="M31" s="8">
        <f t="shared" si="23"/>
        <v>-2004.4569898817904</v>
      </c>
      <c r="N31" s="8">
        <f t="shared" si="23"/>
        <v>-2117.8992519700028</v>
      </c>
      <c r="O31" s="8">
        <f t="shared" si="23"/>
        <v>-2226.9115220944886</v>
      </c>
      <c r="P31" s="8">
        <f t="shared" si="23"/>
        <v>-2331.702197519634</v>
      </c>
      <c r="Q31" s="8">
        <f t="shared" si="23"/>
        <v>-2432.4668059827204</v>
      </c>
      <c r="R31" s="8">
        <f t="shared" si="23"/>
        <v>-2529.3889840331517</v>
      </c>
      <c r="S31" s="8">
        <f t="shared" si="23"/>
        <v>-2622.6413674604696</v>
      </c>
      <c r="T31" s="8">
        <f t="shared" si="23"/>
        <v>-2712.386402891237</v>
      </c>
      <c r="W31" s="2"/>
    </row>
    <row r="32" spans="1:23" ht="18" customHeight="1">
      <c r="A32" s="19"/>
      <c r="B32" s="20"/>
      <c r="C32" s="11" t="s">
        <v>50</v>
      </c>
      <c r="D32" s="8" t="str">
        <f>IF(D$31&lt;-1920,"défaut Pmax elec","Pmax OK")</f>
        <v>Pmax OK</v>
      </c>
      <c r="E32" s="8" t="str">
        <f aca="true" t="shared" si="24" ref="E32:T32">IF(E$31&lt;-1920,"défaut Pmax elec","Pmax OK")</f>
        <v>Pmax OK</v>
      </c>
      <c r="F32" s="8" t="str">
        <f t="shared" si="24"/>
        <v>Pmax OK</v>
      </c>
      <c r="G32" s="8" t="str">
        <f t="shared" si="24"/>
        <v>Pmax OK</v>
      </c>
      <c r="H32" s="8" t="str">
        <f t="shared" si="24"/>
        <v>Pmax OK</v>
      </c>
      <c r="I32" s="8" t="str">
        <f t="shared" si="24"/>
        <v>Pmax OK</v>
      </c>
      <c r="J32" s="8" t="str">
        <f t="shared" si="24"/>
        <v>Pmax OK</v>
      </c>
      <c r="K32" s="8" t="str">
        <f t="shared" si="24"/>
        <v>Pmax OK</v>
      </c>
      <c r="L32" s="8" t="str">
        <f t="shared" si="24"/>
        <v>Pmax OK</v>
      </c>
      <c r="M32" s="8" t="str">
        <f t="shared" si="24"/>
        <v>défaut Pmax elec</v>
      </c>
      <c r="N32" s="8" t="str">
        <f t="shared" si="24"/>
        <v>défaut Pmax elec</v>
      </c>
      <c r="O32" s="8" t="str">
        <f t="shared" si="24"/>
        <v>défaut Pmax elec</v>
      </c>
      <c r="P32" s="8" t="str">
        <f t="shared" si="24"/>
        <v>défaut Pmax elec</v>
      </c>
      <c r="Q32" s="8" t="str">
        <f t="shared" si="24"/>
        <v>défaut Pmax elec</v>
      </c>
      <c r="R32" s="8" t="str">
        <f t="shared" si="24"/>
        <v>défaut Pmax elec</v>
      </c>
      <c r="S32" s="8" t="str">
        <f t="shared" si="24"/>
        <v>défaut Pmax elec</v>
      </c>
      <c r="T32" s="8" t="str">
        <f t="shared" si="24"/>
        <v>défaut Pmax elec</v>
      </c>
      <c r="W32" s="2"/>
    </row>
    <row r="33" spans="1:24" ht="18" customHeight="1">
      <c r="A33" s="68" t="s">
        <v>29</v>
      </c>
      <c r="B33" s="69"/>
      <c r="C33" s="3" t="s">
        <v>27</v>
      </c>
      <c r="D33" s="10">
        <f>ABS($X$43/D$31)</f>
        <v>4.313997429421895</v>
      </c>
      <c r="E33" s="10">
        <f aca="true" t="shared" si="25" ref="E33:T33">ABS($X$43/E$31)</f>
        <v>3.5272635863359536</v>
      </c>
      <c r="F33" s="10">
        <f t="shared" si="25"/>
        <v>3.003114186634287</v>
      </c>
      <c r="G33" s="10">
        <f t="shared" si="25"/>
        <v>2.629015388974888</v>
      </c>
      <c r="H33" s="10">
        <f t="shared" si="25"/>
        <v>2.3487002948406195</v>
      </c>
      <c r="I33" s="10">
        <f t="shared" si="25"/>
        <v>2.1309095361248085</v>
      </c>
      <c r="J33" s="10">
        <f t="shared" si="25"/>
        <v>1.9568875101693628</v>
      </c>
      <c r="K33" s="10">
        <f t="shared" si="25"/>
        <v>1.8146988502402628</v>
      </c>
      <c r="L33" s="10">
        <f t="shared" si="25"/>
        <v>1.6963866607686642</v>
      </c>
      <c r="M33" s="10">
        <f t="shared" si="25"/>
        <v>1.5964423363300575</v>
      </c>
      <c r="N33" s="10">
        <f t="shared" si="25"/>
        <v>1.5109311724924883</v>
      </c>
      <c r="O33" s="10">
        <f t="shared" si="25"/>
        <v>1.4369677323283538</v>
      </c>
      <c r="P33" s="10">
        <f t="shared" si="25"/>
        <v>1.372387950486998</v>
      </c>
      <c r="Q33" s="10">
        <f t="shared" si="25"/>
        <v>1.3155369652442985</v>
      </c>
      <c r="R33" s="10">
        <f t="shared" si="25"/>
        <v>1.265127673204913</v>
      </c>
      <c r="S33" s="10">
        <f t="shared" si="25"/>
        <v>1.2201439509430878</v>
      </c>
      <c r="T33" s="10">
        <f t="shared" si="25"/>
        <v>1.1797729101535817</v>
      </c>
      <c r="W33" s="2" t="s">
        <v>4</v>
      </c>
      <c r="X33" s="1">
        <v>3200</v>
      </c>
    </row>
    <row r="34" spans="1:24" ht="18" customHeight="1">
      <c r="A34" s="70"/>
      <c r="B34" s="71"/>
      <c r="C34" s="3" t="s">
        <v>28</v>
      </c>
      <c r="D34" s="3">
        <f aca="true" t="shared" si="26" ref="D34:T34">D$4*D$33</f>
        <v>43.13997429421895</v>
      </c>
      <c r="E34" s="3">
        <f t="shared" si="26"/>
        <v>44.09079482919942</v>
      </c>
      <c r="F34" s="3">
        <f t="shared" si="26"/>
        <v>45.04671279951431</v>
      </c>
      <c r="G34" s="3">
        <f t="shared" si="26"/>
        <v>46.00776930706054</v>
      </c>
      <c r="H34" s="3">
        <f t="shared" si="26"/>
        <v>46.974005896812386</v>
      </c>
      <c r="I34" s="3">
        <f t="shared" si="26"/>
        <v>47.94546456280819</v>
      </c>
      <c r="J34" s="3">
        <f t="shared" si="26"/>
        <v>48.92218775423407</v>
      </c>
      <c r="K34" s="3">
        <f t="shared" si="26"/>
        <v>49.90421838160723</v>
      </c>
      <c r="L34" s="3">
        <f t="shared" si="26"/>
        <v>50.89159982305993</v>
      </c>
      <c r="M34" s="3">
        <f t="shared" si="26"/>
        <v>51.88437593072687</v>
      </c>
      <c r="N34" s="3">
        <f t="shared" si="26"/>
        <v>52.88259103723709</v>
      </c>
      <c r="O34" s="3">
        <f t="shared" si="26"/>
        <v>53.88628996231327</v>
      </c>
      <c r="P34" s="3">
        <f t="shared" si="26"/>
        <v>54.89551801947992</v>
      </c>
      <c r="Q34" s="3">
        <f t="shared" si="26"/>
        <v>55.910321022882684</v>
      </c>
      <c r="R34" s="3">
        <f t="shared" si="26"/>
        <v>56.93074529422109</v>
      </c>
      <c r="S34" s="3">
        <f t="shared" si="26"/>
        <v>57.95683766979667</v>
      </c>
      <c r="T34" s="3">
        <f t="shared" si="26"/>
        <v>58.98864550767908</v>
      </c>
      <c r="W34" s="2" t="s">
        <v>5</v>
      </c>
      <c r="X34" s="1">
        <v>400</v>
      </c>
    </row>
    <row r="35" spans="23:24" ht="8.25" customHeight="1">
      <c r="W35" s="2" t="s">
        <v>6</v>
      </c>
      <c r="X35" s="1">
        <v>2</v>
      </c>
    </row>
    <row r="36" spans="1:24" ht="18" customHeight="1">
      <c r="A36" s="3" t="s">
        <v>30</v>
      </c>
      <c r="B36" s="6">
        <v>0.14</v>
      </c>
      <c r="C36" s="3" t="s">
        <v>14</v>
      </c>
      <c r="D36" s="3">
        <f>-$X$37*$X$36*$B$36*D$5</f>
        <v>-534.1000000000001</v>
      </c>
      <c r="E36" s="3">
        <f aca="true" t="shared" si="27" ref="E36:T36">-$X$37*$X$36*$B$36*E$5</f>
        <v>-667.6250000000001</v>
      </c>
      <c r="F36" s="3">
        <f t="shared" si="27"/>
        <v>-801.1500000000002</v>
      </c>
      <c r="G36" s="3">
        <f t="shared" si="27"/>
        <v>-934.6750000000001</v>
      </c>
      <c r="H36" s="3">
        <f t="shared" si="27"/>
        <v>-1068.2000000000003</v>
      </c>
      <c r="I36" s="3">
        <f t="shared" si="27"/>
        <v>-1201.7250000000001</v>
      </c>
      <c r="J36" s="3">
        <f t="shared" si="27"/>
        <v>-1335.2500000000002</v>
      </c>
      <c r="K36" s="3">
        <f t="shared" si="27"/>
        <v>-1468.775</v>
      </c>
      <c r="L36" s="3">
        <f t="shared" si="27"/>
        <v>-1602.3000000000004</v>
      </c>
      <c r="M36" s="3">
        <f t="shared" si="27"/>
        <v>-1735.8250000000003</v>
      </c>
      <c r="N36" s="3">
        <f t="shared" si="27"/>
        <v>-1869.3500000000001</v>
      </c>
      <c r="O36" s="3">
        <f t="shared" si="27"/>
        <v>-2002.8750000000002</v>
      </c>
      <c r="P36" s="3">
        <f t="shared" si="27"/>
        <v>-2136.4000000000005</v>
      </c>
      <c r="Q36" s="3">
        <f t="shared" si="27"/>
        <v>-2269.9250000000006</v>
      </c>
      <c r="R36" s="3">
        <f t="shared" si="27"/>
        <v>-2403.4500000000003</v>
      </c>
      <c r="S36" s="3">
        <f t="shared" si="27"/>
        <v>-2536.9750000000004</v>
      </c>
      <c r="T36" s="3">
        <f t="shared" si="27"/>
        <v>-2670.5000000000005</v>
      </c>
      <c r="W36" s="2" t="s">
        <v>7</v>
      </c>
      <c r="X36" s="1">
        <v>140</v>
      </c>
    </row>
    <row r="37" spans="1:24" ht="18" customHeight="1">
      <c r="A37" s="3"/>
      <c r="B37" s="6"/>
      <c r="C37" s="3" t="s">
        <v>15</v>
      </c>
      <c r="D37" s="3">
        <f>0.5*$X$35*$X$27*$X$28*D$5*D$5</f>
        <v>4.629629629629629</v>
      </c>
      <c r="E37" s="3">
        <f aca="true" t="shared" si="28" ref="E37:T37">0.5*$X$35*$X$27*$X$28*E$5*E$5</f>
        <v>7.233796296296297</v>
      </c>
      <c r="F37" s="3">
        <f t="shared" si="28"/>
        <v>10.416666666666668</v>
      </c>
      <c r="G37" s="3">
        <f t="shared" si="28"/>
        <v>14.178240740740739</v>
      </c>
      <c r="H37" s="3">
        <f t="shared" si="28"/>
        <v>18.518518518518515</v>
      </c>
      <c r="I37" s="3">
        <f t="shared" si="28"/>
        <v>23.4375</v>
      </c>
      <c r="J37" s="3">
        <f t="shared" si="28"/>
        <v>28.935185185185187</v>
      </c>
      <c r="K37" s="3">
        <f t="shared" si="28"/>
        <v>35.01157407407407</v>
      </c>
      <c r="L37" s="3">
        <f t="shared" si="28"/>
        <v>41.66666666666667</v>
      </c>
      <c r="M37" s="3">
        <f t="shared" si="28"/>
        <v>48.900462962962955</v>
      </c>
      <c r="N37" s="3">
        <f t="shared" si="28"/>
        <v>56.712962962962955</v>
      </c>
      <c r="O37" s="3">
        <f t="shared" si="28"/>
        <v>65.10416666666666</v>
      </c>
      <c r="P37" s="3">
        <f t="shared" si="28"/>
        <v>74.07407407407406</v>
      </c>
      <c r="Q37" s="3">
        <f t="shared" si="28"/>
        <v>83.62268518518518</v>
      </c>
      <c r="R37" s="3">
        <f t="shared" si="28"/>
        <v>93.75</v>
      </c>
      <c r="S37" s="3">
        <f t="shared" si="28"/>
        <v>104.45601851851852</v>
      </c>
      <c r="T37" s="3">
        <f t="shared" si="28"/>
        <v>115.74074074074075</v>
      </c>
      <c r="W37" s="2" t="s">
        <v>8</v>
      </c>
      <c r="X37" s="1">
        <v>9.81</v>
      </c>
    </row>
    <row r="38" spans="1:24" ht="18" customHeight="1">
      <c r="A38" s="3"/>
      <c r="B38" s="6"/>
      <c r="C38" s="3" t="s">
        <v>16</v>
      </c>
      <c r="D38" s="3">
        <f>$X$38*$X$36*$X$37*D$5</f>
        <v>19.075000000000003</v>
      </c>
      <c r="E38" s="3">
        <f aca="true" t="shared" si="29" ref="E38:T38">$X$38*$X$36*$X$37*E$5</f>
        <v>23.843750000000004</v>
      </c>
      <c r="F38" s="3">
        <f t="shared" si="29"/>
        <v>28.612500000000004</v>
      </c>
      <c r="G38" s="3">
        <f t="shared" si="29"/>
        <v>33.38125</v>
      </c>
      <c r="H38" s="3">
        <f t="shared" si="29"/>
        <v>38.150000000000006</v>
      </c>
      <c r="I38" s="3">
        <f t="shared" si="29"/>
        <v>42.91875</v>
      </c>
      <c r="J38" s="3">
        <f t="shared" si="29"/>
        <v>47.68750000000001</v>
      </c>
      <c r="K38" s="3">
        <f t="shared" si="29"/>
        <v>52.456250000000004</v>
      </c>
      <c r="L38" s="3">
        <f t="shared" si="29"/>
        <v>57.22500000000001</v>
      </c>
      <c r="M38" s="3">
        <f t="shared" si="29"/>
        <v>61.99375</v>
      </c>
      <c r="N38" s="3">
        <f t="shared" si="29"/>
        <v>66.7625</v>
      </c>
      <c r="O38" s="3">
        <f t="shared" si="29"/>
        <v>71.53125</v>
      </c>
      <c r="P38" s="3">
        <f t="shared" si="29"/>
        <v>76.30000000000001</v>
      </c>
      <c r="Q38" s="3">
        <f t="shared" si="29"/>
        <v>81.06875000000001</v>
      </c>
      <c r="R38" s="3">
        <f t="shared" si="29"/>
        <v>85.8375</v>
      </c>
      <c r="S38" s="3">
        <f t="shared" si="29"/>
        <v>90.60625000000002</v>
      </c>
      <c r="T38" s="3">
        <f t="shared" si="29"/>
        <v>95.37500000000001</v>
      </c>
      <c r="W38" s="2" t="s">
        <v>9</v>
      </c>
      <c r="X38" s="1">
        <v>0.005</v>
      </c>
    </row>
    <row r="39" spans="1:23" ht="18" customHeight="1">
      <c r="A39" s="3"/>
      <c r="B39" s="6"/>
      <c r="C39" s="5" t="s">
        <v>17</v>
      </c>
      <c r="D39" s="11">
        <f aca="true" t="shared" si="30" ref="D39:T39">D36+D37+D38</f>
        <v>-510.3953703703705</v>
      </c>
      <c r="E39" s="11">
        <f t="shared" si="30"/>
        <v>-636.5474537037038</v>
      </c>
      <c r="F39" s="11">
        <f t="shared" si="30"/>
        <v>-762.1208333333336</v>
      </c>
      <c r="G39" s="11">
        <f t="shared" si="30"/>
        <v>-887.1155092592593</v>
      </c>
      <c r="H39" s="11">
        <f t="shared" si="30"/>
        <v>-1011.5314814814818</v>
      </c>
      <c r="I39" s="11">
        <f t="shared" si="30"/>
        <v>-1135.36875</v>
      </c>
      <c r="J39" s="11">
        <f t="shared" si="30"/>
        <v>-1258.627314814815</v>
      </c>
      <c r="K39" s="11">
        <f t="shared" si="30"/>
        <v>-1381.307175925926</v>
      </c>
      <c r="L39" s="11">
        <f t="shared" si="30"/>
        <v>-1503.4083333333338</v>
      </c>
      <c r="M39" s="11">
        <f t="shared" si="30"/>
        <v>-1624.9307870370371</v>
      </c>
      <c r="N39" s="11">
        <f t="shared" si="30"/>
        <v>-1745.874537037037</v>
      </c>
      <c r="O39" s="11">
        <f t="shared" si="30"/>
        <v>-1866.2395833333335</v>
      </c>
      <c r="P39" s="11">
        <f t="shared" si="30"/>
        <v>-1986.0259259259267</v>
      </c>
      <c r="Q39" s="11">
        <f t="shared" si="30"/>
        <v>-2105.2335648148155</v>
      </c>
      <c r="R39" s="11">
        <f t="shared" si="30"/>
        <v>-2223.8625</v>
      </c>
      <c r="S39" s="11">
        <f t="shared" si="30"/>
        <v>-2341.912731481482</v>
      </c>
      <c r="T39" s="11">
        <f t="shared" si="30"/>
        <v>-2459.3842592592596</v>
      </c>
      <c r="W39" s="2"/>
    </row>
    <row r="40" spans="1:24" ht="18" customHeight="1">
      <c r="A40" s="19"/>
      <c r="B40" s="20"/>
      <c r="C40" s="11" t="s">
        <v>49</v>
      </c>
      <c r="D40" s="8">
        <f aca="true" t="shared" si="31" ref="D40:T40">D$39/(D$7*D$6)</f>
        <v>-872.1509709368228</v>
      </c>
      <c r="E40" s="8">
        <f t="shared" si="31"/>
        <v>-1067.1050279090928</v>
      </c>
      <c r="F40" s="8">
        <f t="shared" si="31"/>
        <v>-1253.8558962601307</v>
      </c>
      <c r="G40" s="8">
        <f t="shared" si="31"/>
        <v>-1432.852882652909</v>
      </c>
      <c r="H40" s="8">
        <f t="shared" si="31"/>
        <v>-1604.513069399179</v>
      </c>
      <c r="I40" s="8">
        <f t="shared" si="31"/>
        <v>-1769.2241524934154</v>
      </c>
      <c r="J40" s="8">
        <f t="shared" si="31"/>
        <v>-1927.3469848999955</v>
      </c>
      <c r="K40" s="8">
        <f t="shared" si="31"/>
        <v>-2079.217860199014</v>
      </c>
      <c r="L40" s="8">
        <f t="shared" si="31"/>
        <v>-2225.1505669976386</v>
      </c>
      <c r="M40" s="8">
        <f t="shared" si="31"/>
        <v>-2365.4382405111314</v>
      </c>
      <c r="N40" s="8">
        <f t="shared" si="31"/>
        <v>-2500.3550342981703</v>
      </c>
      <c r="O40" s="8">
        <f t="shared" si="31"/>
        <v>-2630.157632205777</v>
      </c>
      <c r="P40" s="8">
        <f t="shared" si="31"/>
        <v>-2755.0866180633448</v>
      </c>
      <c r="Q40" s="8">
        <f t="shared" si="31"/>
        <v>-2875.3677184989347</v>
      </c>
      <c r="R40" s="8">
        <f t="shared" si="31"/>
        <v>-2991.2129323811596</v>
      </c>
      <c r="S40" s="8">
        <f t="shared" si="31"/>
        <v>-3102.8215587721306</v>
      </c>
      <c r="T40" s="8">
        <f t="shared" si="31"/>
        <v>-3210.3811338739406</v>
      </c>
      <c r="W40" s="2" t="s">
        <v>10</v>
      </c>
      <c r="X40" s="1">
        <v>0.33</v>
      </c>
    </row>
    <row r="41" spans="1:23" ht="18" customHeight="1">
      <c r="A41" s="19"/>
      <c r="B41" s="20"/>
      <c r="C41" s="11" t="s">
        <v>50</v>
      </c>
      <c r="D41" s="8" t="str">
        <f>IF(D$40&lt;-1920,"défaut Pmax elec","Pmax OK")</f>
        <v>Pmax OK</v>
      </c>
      <c r="E41" s="8" t="str">
        <f aca="true" t="shared" si="32" ref="E41:T41">IF(E$40&lt;-1920,"défaut Pmax elec","Pmax OK")</f>
        <v>Pmax OK</v>
      </c>
      <c r="F41" s="8" t="str">
        <f t="shared" si="32"/>
        <v>Pmax OK</v>
      </c>
      <c r="G41" s="8" t="str">
        <f t="shared" si="32"/>
        <v>Pmax OK</v>
      </c>
      <c r="H41" s="8" t="str">
        <f t="shared" si="32"/>
        <v>Pmax OK</v>
      </c>
      <c r="I41" s="8" t="str">
        <f t="shared" si="32"/>
        <v>Pmax OK</v>
      </c>
      <c r="J41" s="8" t="str">
        <f t="shared" si="32"/>
        <v>défaut Pmax elec</v>
      </c>
      <c r="K41" s="8" t="str">
        <f t="shared" si="32"/>
        <v>défaut Pmax elec</v>
      </c>
      <c r="L41" s="8" t="str">
        <f t="shared" si="32"/>
        <v>défaut Pmax elec</v>
      </c>
      <c r="M41" s="8" t="str">
        <f t="shared" si="32"/>
        <v>défaut Pmax elec</v>
      </c>
      <c r="N41" s="8" t="str">
        <f t="shared" si="32"/>
        <v>défaut Pmax elec</v>
      </c>
      <c r="O41" s="8" t="str">
        <f t="shared" si="32"/>
        <v>défaut Pmax elec</v>
      </c>
      <c r="P41" s="8" t="str">
        <f t="shared" si="32"/>
        <v>défaut Pmax elec</v>
      </c>
      <c r="Q41" s="8" t="str">
        <f t="shared" si="32"/>
        <v>défaut Pmax elec</v>
      </c>
      <c r="R41" s="8" t="str">
        <f t="shared" si="32"/>
        <v>défaut Pmax elec</v>
      </c>
      <c r="S41" s="8" t="str">
        <f t="shared" si="32"/>
        <v>défaut Pmax elec</v>
      </c>
      <c r="T41" s="8" t="str">
        <f t="shared" si="32"/>
        <v>défaut Pmax elec</v>
      </c>
      <c r="W41" s="2"/>
    </row>
    <row r="42" spans="1:23" ht="18" customHeight="1">
      <c r="A42" s="68" t="s">
        <v>29</v>
      </c>
      <c r="B42" s="69"/>
      <c r="C42" s="3" t="s">
        <v>27</v>
      </c>
      <c r="D42" s="10">
        <f>ABS($X$43/D$40)</f>
        <v>3.6690895345363352</v>
      </c>
      <c r="E42" s="10">
        <f aca="true" t="shared" si="33" ref="E42:T42">ABS($X$43/E$40)</f>
        <v>2.998767615470939</v>
      </c>
      <c r="F42" s="10">
        <f t="shared" si="33"/>
        <v>2.5521274091740707</v>
      </c>
      <c r="G42" s="10">
        <f t="shared" si="33"/>
        <v>2.2333067398205184</v>
      </c>
      <c r="H42" s="10">
        <f t="shared" si="33"/>
        <v>1.9943745308339946</v>
      </c>
      <c r="I42" s="10">
        <f t="shared" si="33"/>
        <v>1.8087024165310843</v>
      </c>
      <c r="J42" s="10">
        <f t="shared" si="33"/>
        <v>1.6603133867802422</v>
      </c>
      <c r="K42" s="10">
        <f t="shared" si="33"/>
        <v>1.5390402618481305</v>
      </c>
      <c r="L42" s="10">
        <f t="shared" si="33"/>
        <v>1.4381049298240123</v>
      </c>
      <c r="M42" s="10">
        <f t="shared" si="33"/>
        <v>1.3528148590802074</v>
      </c>
      <c r="N42" s="10">
        <f t="shared" si="33"/>
        <v>1.2798182482505787</v>
      </c>
      <c r="O42" s="10">
        <f t="shared" si="33"/>
        <v>1.2166571162186677</v>
      </c>
      <c r="P42" s="10">
        <f t="shared" si="33"/>
        <v>1.1614879833612644</v>
      </c>
      <c r="Q42" s="10">
        <f t="shared" si="33"/>
        <v>1.1129011358834262</v>
      </c>
      <c r="R42" s="10">
        <f t="shared" si="33"/>
        <v>1.0698001353760647</v>
      </c>
      <c r="S42" s="10">
        <f t="shared" si="33"/>
        <v>1.031319377987797</v>
      </c>
      <c r="T42" s="10">
        <f t="shared" si="33"/>
        <v>0.9967663858460899</v>
      </c>
      <c r="W42" s="2"/>
    </row>
    <row r="43" spans="1:24" ht="18" customHeight="1">
      <c r="A43" s="70"/>
      <c r="B43" s="71"/>
      <c r="C43" s="3" t="s">
        <v>28</v>
      </c>
      <c r="D43" s="3">
        <f aca="true" t="shared" si="34" ref="D43:T43">D$4*D$42</f>
        <v>36.69089534536335</v>
      </c>
      <c r="E43" s="3">
        <f t="shared" si="34"/>
        <v>37.48459519338674</v>
      </c>
      <c r="F43" s="3">
        <f t="shared" si="34"/>
        <v>38.28191113761106</v>
      </c>
      <c r="G43" s="3">
        <f t="shared" si="34"/>
        <v>39.082867946859075</v>
      </c>
      <c r="H43" s="3">
        <f t="shared" si="34"/>
        <v>39.88749061667989</v>
      </c>
      <c r="I43" s="3">
        <f t="shared" si="34"/>
        <v>40.6958043719494</v>
      </c>
      <c r="J43" s="3">
        <f t="shared" si="34"/>
        <v>41.50783466950605</v>
      </c>
      <c r="K43" s="3">
        <f t="shared" si="34"/>
        <v>42.32360720082359</v>
      </c>
      <c r="L43" s="3">
        <f t="shared" si="34"/>
        <v>43.14314789472037</v>
      </c>
      <c r="M43" s="3">
        <f t="shared" si="34"/>
        <v>43.96648292010674</v>
      </c>
      <c r="N43" s="3">
        <f t="shared" si="34"/>
        <v>44.79363868877025</v>
      </c>
      <c r="O43" s="3">
        <f t="shared" si="34"/>
        <v>45.624641858200036</v>
      </c>
      <c r="P43" s="3">
        <f t="shared" si="34"/>
        <v>46.459519334450576</v>
      </c>
      <c r="Q43" s="3">
        <f t="shared" si="34"/>
        <v>47.29829827504561</v>
      </c>
      <c r="R43" s="3">
        <f t="shared" si="34"/>
        <v>48.14100609192291</v>
      </c>
      <c r="S43" s="3">
        <f t="shared" si="34"/>
        <v>48.98767045442035</v>
      </c>
      <c r="T43" s="3">
        <f t="shared" si="34"/>
        <v>49.8383192923045</v>
      </c>
      <c r="W43" s="2" t="s">
        <v>23</v>
      </c>
      <c r="X43" s="1">
        <f>X33</f>
        <v>3200</v>
      </c>
    </row>
    <row r="44" spans="23:24" ht="10.5" customHeight="1">
      <c r="W44" s="2" t="s">
        <v>24</v>
      </c>
      <c r="X44" s="1">
        <f>X43/60</f>
        <v>53.333333333333336</v>
      </c>
    </row>
    <row r="45" spans="1:24" ht="18" customHeight="1">
      <c r="A45" s="3" t="s">
        <v>30</v>
      </c>
      <c r="B45" s="6">
        <v>0.16</v>
      </c>
      <c r="C45" s="3" t="s">
        <v>14</v>
      </c>
      <c r="D45" s="3">
        <f>-$X$37*$X$36*$B$45*D$5</f>
        <v>-610.4000000000001</v>
      </c>
      <c r="E45" s="3">
        <f aca="true" t="shared" si="35" ref="E45:T45">-$X$37*$X$36*$B$45*E$5</f>
        <v>-763.0000000000001</v>
      </c>
      <c r="F45" s="3">
        <f t="shared" si="35"/>
        <v>-915.6000000000001</v>
      </c>
      <c r="G45" s="3">
        <f t="shared" si="35"/>
        <v>-1068.2</v>
      </c>
      <c r="H45" s="3">
        <f t="shared" si="35"/>
        <v>-1220.8000000000002</v>
      </c>
      <c r="I45" s="3">
        <f t="shared" si="35"/>
        <v>-1373.4</v>
      </c>
      <c r="J45" s="3">
        <f t="shared" si="35"/>
        <v>-1526.0000000000002</v>
      </c>
      <c r="K45" s="3">
        <f t="shared" si="35"/>
        <v>-1678.6000000000001</v>
      </c>
      <c r="L45" s="3">
        <f t="shared" si="35"/>
        <v>-1831.2000000000003</v>
      </c>
      <c r="M45" s="3">
        <f t="shared" si="35"/>
        <v>-1983.8</v>
      </c>
      <c r="N45" s="3">
        <f t="shared" si="35"/>
        <v>-2136.4</v>
      </c>
      <c r="O45" s="3">
        <f t="shared" si="35"/>
        <v>-2289</v>
      </c>
      <c r="P45" s="3">
        <f t="shared" si="35"/>
        <v>-2441.6000000000004</v>
      </c>
      <c r="Q45" s="3">
        <f t="shared" si="35"/>
        <v>-2594.2000000000003</v>
      </c>
      <c r="R45" s="3">
        <f t="shared" si="35"/>
        <v>-2746.8</v>
      </c>
      <c r="S45" s="3">
        <f t="shared" si="35"/>
        <v>-2899.4000000000005</v>
      </c>
      <c r="T45" s="3">
        <f t="shared" si="35"/>
        <v>-3052.0000000000005</v>
      </c>
      <c r="W45" s="2" t="s">
        <v>25</v>
      </c>
      <c r="X45" s="1">
        <f>X44/60</f>
        <v>0.888888888888889</v>
      </c>
    </row>
    <row r="46" spans="1:23" ht="18" customHeight="1">
      <c r="A46" s="3"/>
      <c r="B46" s="6"/>
      <c r="C46" s="3" t="s">
        <v>15</v>
      </c>
      <c r="D46" s="3">
        <f>0.5*$X$35*$X$27*$X$28*D$5*D$5</f>
        <v>4.629629629629629</v>
      </c>
      <c r="E46" s="3">
        <f aca="true" t="shared" si="36" ref="E46:T46">0.5*$X$35*$X$27*$X$28*E$5*E$5</f>
        <v>7.233796296296297</v>
      </c>
      <c r="F46" s="3">
        <f t="shared" si="36"/>
        <v>10.416666666666668</v>
      </c>
      <c r="G46" s="3">
        <f t="shared" si="36"/>
        <v>14.178240740740739</v>
      </c>
      <c r="H46" s="3">
        <f t="shared" si="36"/>
        <v>18.518518518518515</v>
      </c>
      <c r="I46" s="3">
        <f t="shared" si="36"/>
        <v>23.4375</v>
      </c>
      <c r="J46" s="3">
        <f t="shared" si="36"/>
        <v>28.935185185185187</v>
      </c>
      <c r="K46" s="3">
        <f t="shared" si="36"/>
        <v>35.01157407407407</v>
      </c>
      <c r="L46" s="3">
        <f t="shared" si="36"/>
        <v>41.66666666666667</v>
      </c>
      <c r="M46" s="3">
        <f t="shared" si="36"/>
        <v>48.900462962962955</v>
      </c>
      <c r="N46" s="3">
        <f t="shared" si="36"/>
        <v>56.712962962962955</v>
      </c>
      <c r="O46" s="3">
        <f t="shared" si="36"/>
        <v>65.10416666666666</v>
      </c>
      <c r="P46" s="3">
        <f t="shared" si="36"/>
        <v>74.07407407407406</v>
      </c>
      <c r="Q46" s="3">
        <f t="shared" si="36"/>
        <v>83.62268518518518</v>
      </c>
      <c r="R46" s="3">
        <f t="shared" si="36"/>
        <v>93.75</v>
      </c>
      <c r="S46" s="3">
        <f t="shared" si="36"/>
        <v>104.45601851851852</v>
      </c>
      <c r="T46" s="3">
        <f t="shared" si="36"/>
        <v>115.74074074074075</v>
      </c>
      <c r="W46" s="2"/>
    </row>
    <row r="47" spans="1:24" ht="18" customHeight="1">
      <c r="A47" s="3"/>
      <c r="B47" s="6"/>
      <c r="C47" s="3" t="s">
        <v>16</v>
      </c>
      <c r="D47" s="3">
        <f>$X$38*$X$36*$X$37*D$5</f>
        <v>19.075000000000003</v>
      </c>
      <c r="E47" s="3">
        <f aca="true" t="shared" si="37" ref="E47:T47">$X$38*$X$36*$X$37*E$5</f>
        <v>23.843750000000004</v>
      </c>
      <c r="F47" s="3">
        <f t="shared" si="37"/>
        <v>28.612500000000004</v>
      </c>
      <c r="G47" s="3">
        <f t="shared" si="37"/>
        <v>33.38125</v>
      </c>
      <c r="H47" s="3">
        <f t="shared" si="37"/>
        <v>38.150000000000006</v>
      </c>
      <c r="I47" s="3">
        <f t="shared" si="37"/>
        <v>42.91875</v>
      </c>
      <c r="J47" s="3">
        <f t="shared" si="37"/>
        <v>47.68750000000001</v>
      </c>
      <c r="K47" s="3">
        <f t="shared" si="37"/>
        <v>52.456250000000004</v>
      </c>
      <c r="L47" s="3">
        <f t="shared" si="37"/>
        <v>57.22500000000001</v>
      </c>
      <c r="M47" s="3">
        <f t="shared" si="37"/>
        <v>61.99375</v>
      </c>
      <c r="N47" s="3">
        <f t="shared" si="37"/>
        <v>66.7625</v>
      </c>
      <c r="O47" s="3">
        <f t="shared" si="37"/>
        <v>71.53125</v>
      </c>
      <c r="P47" s="3">
        <f t="shared" si="37"/>
        <v>76.30000000000001</v>
      </c>
      <c r="Q47" s="3">
        <f t="shared" si="37"/>
        <v>81.06875000000001</v>
      </c>
      <c r="R47" s="3">
        <f t="shared" si="37"/>
        <v>85.8375</v>
      </c>
      <c r="S47" s="3">
        <f t="shared" si="37"/>
        <v>90.60625000000002</v>
      </c>
      <c r="T47" s="3">
        <f t="shared" si="37"/>
        <v>95.37500000000001</v>
      </c>
      <c r="W47" s="2" t="s">
        <v>31</v>
      </c>
      <c r="X47" s="1">
        <v>0.85</v>
      </c>
    </row>
    <row r="48" spans="1:23" ht="18" customHeight="1">
      <c r="A48" s="3"/>
      <c r="B48" s="6"/>
      <c r="C48" s="5" t="s">
        <v>17</v>
      </c>
      <c r="D48" s="11">
        <f aca="true" t="shared" si="38" ref="D48:T48">D45+D46+D47</f>
        <v>-586.6953703703704</v>
      </c>
      <c r="E48" s="11">
        <f t="shared" si="38"/>
        <v>-731.9224537037038</v>
      </c>
      <c r="F48" s="11">
        <f t="shared" si="38"/>
        <v>-876.5708333333336</v>
      </c>
      <c r="G48" s="11">
        <f t="shared" si="38"/>
        <v>-1020.6405092592594</v>
      </c>
      <c r="H48" s="11">
        <f t="shared" si="38"/>
        <v>-1164.1314814814816</v>
      </c>
      <c r="I48" s="11">
        <f t="shared" si="38"/>
        <v>-1307.04375</v>
      </c>
      <c r="J48" s="11">
        <f t="shared" si="38"/>
        <v>-1449.377314814815</v>
      </c>
      <c r="K48" s="11">
        <f t="shared" si="38"/>
        <v>-1591.132175925926</v>
      </c>
      <c r="L48" s="11">
        <f t="shared" si="38"/>
        <v>-1732.3083333333336</v>
      </c>
      <c r="M48" s="11">
        <f t="shared" si="38"/>
        <v>-1872.9057870370368</v>
      </c>
      <c r="N48" s="11">
        <f t="shared" si="38"/>
        <v>-2012.924537037037</v>
      </c>
      <c r="O48" s="11">
        <f t="shared" si="38"/>
        <v>-2152.3645833333335</v>
      </c>
      <c r="P48" s="11">
        <f t="shared" si="38"/>
        <v>-2291.2259259259263</v>
      </c>
      <c r="Q48" s="11">
        <f t="shared" si="38"/>
        <v>-2429.508564814815</v>
      </c>
      <c r="R48" s="11">
        <f t="shared" si="38"/>
        <v>-2567.2125</v>
      </c>
      <c r="S48" s="11">
        <f t="shared" si="38"/>
        <v>-2704.337731481482</v>
      </c>
      <c r="T48" s="11">
        <f t="shared" si="38"/>
        <v>-2840.8842592592596</v>
      </c>
      <c r="W48" s="2"/>
    </row>
    <row r="49" spans="1:24" ht="18" customHeight="1">
      <c r="A49" s="19"/>
      <c r="B49" s="20"/>
      <c r="C49" s="11" t="s">
        <v>49</v>
      </c>
      <c r="D49" s="8">
        <f aca="true" t="shared" si="39" ref="D49:T49">D$48/(D$7*D$6)</f>
        <v>-1002.530521664704</v>
      </c>
      <c r="E49" s="8">
        <f t="shared" si="39"/>
        <v>-1226.9912099127419</v>
      </c>
      <c r="F49" s="8">
        <f t="shared" si="39"/>
        <v>-1442.15124399301</v>
      </c>
      <c r="G49" s="8">
        <f t="shared" si="39"/>
        <v>-1648.5200411675687</v>
      </c>
      <c r="H49" s="8">
        <f t="shared" si="39"/>
        <v>-1846.570483204739</v>
      </c>
      <c r="I49" s="8">
        <f t="shared" si="39"/>
        <v>-2036.742134100102</v>
      </c>
      <c r="J49" s="8">
        <f t="shared" si="39"/>
        <v>-2219.4441236179537</v>
      </c>
      <c r="K49" s="8">
        <f t="shared" si="39"/>
        <v>-2395.057736455223</v>
      </c>
      <c r="L49" s="8">
        <f t="shared" si="39"/>
        <v>-2563.938741502742</v>
      </c>
      <c r="M49" s="8">
        <f t="shared" si="39"/>
        <v>-2726.4194911404716</v>
      </c>
      <c r="N49" s="8">
        <f t="shared" si="39"/>
        <v>-2882.8108166263373</v>
      </c>
      <c r="O49" s="8">
        <f t="shared" si="39"/>
        <v>-3033.4037423170657</v>
      </c>
      <c r="P49" s="8">
        <f t="shared" si="39"/>
        <v>-3178.4710386070537</v>
      </c>
      <c r="Q49" s="8">
        <f t="shared" si="39"/>
        <v>-3318.268631015147</v>
      </c>
      <c r="R49" s="8">
        <f t="shared" si="39"/>
        <v>-3453.0368807291675</v>
      </c>
      <c r="S49" s="8">
        <f t="shared" si="39"/>
        <v>-3583.0017500837903</v>
      </c>
      <c r="T49" s="8">
        <f t="shared" si="39"/>
        <v>-3708.375864856643</v>
      </c>
      <c r="W49" s="2" t="s">
        <v>32</v>
      </c>
      <c r="X49" s="1">
        <v>0.8</v>
      </c>
    </row>
    <row r="50" spans="1:23" ht="18" customHeight="1">
      <c r="A50" s="19"/>
      <c r="B50" s="20"/>
      <c r="C50" s="11" t="s">
        <v>50</v>
      </c>
      <c r="D50" s="8" t="str">
        <f>IF(D$49&lt;-1920,"défaut Pmax elec","Pmax OK")</f>
        <v>Pmax OK</v>
      </c>
      <c r="E50" s="8" t="str">
        <f aca="true" t="shared" si="40" ref="E50:T50">IF(E$49&lt;-1920,"défaut Pmax elec","Pmax OK")</f>
        <v>Pmax OK</v>
      </c>
      <c r="F50" s="8" t="str">
        <f t="shared" si="40"/>
        <v>Pmax OK</v>
      </c>
      <c r="G50" s="8" t="str">
        <f t="shared" si="40"/>
        <v>Pmax OK</v>
      </c>
      <c r="H50" s="8" t="str">
        <f t="shared" si="40"/>
        <v>Pmax OK</v>
      </c>
      <c r="I50" s="8" t="str">
        <f t="shared" si="40"/>
        <v>défaut Pmax elec</v>
      </c>
      <c r="J50" s="8" t="str">
        <f t="shared" si="40"/>
        <v>défaut Pmax elec</v>
      </c>
      <c r="K50" s="8" t="str">
        <f t="shared" si="40"/>
        <v>défaut Pmax elec</v>
      </c>
      <c r="L50" s="8" t="str">
        <f t="shared" si="40"/>
        <v>défaut Pmax elec</v>
      </c>
      <c r="M50" s="8" t="str">
        <f t="shared" si="40"/>
        <v>défaut Pmax elec</v>
      </c>
      <c r="N50" s="8" t="str">
        <f t="shared" si="40"/>
        <v>défaut Pmax elec</v>
      </c>
      <c r="O50" s="8" t="str">
        <f t="shared" si="40"/>
        <v>défaut Pmax elec</v>
      </c>
      <c r="P50" s="8" t="str">
        <f t="shared" si="40"/>
        <v>défaut Pmax elec</v>
      </c>
      <c r="Q50" s="8" t="str">
        <f t="shared" si="40"/>
        <v>défaut Pmax elec</v>
      </c>
      <c r="R50" s="8" t="str">
        <f t="shared" si="40"/>
        <v>défaut Pmax elec</v>
      </c>
      <c r="S50" s="8" t="str">
        <f t="shared" si="40"/>
        <v>défaut Pmax elec</v>
      </c>
      <c r="T50" s="8" t="str">
        <f t="shared" si="40"/>
        <v>défaut Pmax elec</v>
      </c>
      <c r="W50" s="2"/>
    </row>
    <row r="51" spans="1:25" ht="18" customHeight="1">
      <c r="A51" s="68" t="s">
        <v>29</v>
      </c>
      <c r="B51" s="69"/>
      <c r="C51" s="3" t="s">
        <v>27</v>
      </c>
      <c r="D51" s="10">
        <f>ABS($X$43/D$49)</f>
        <v>3.19192277027775</v>
      </c>
      <c r="E51" s="10">
        <f aca="true" t="shared" si="41" ref="E51:T51">ABS($X$43/E$49)</f>
        <v>2.608005643518481</v>
      </c>
      <c r="F51" s="10">
        <f t="shared" si="41"/>
        <v>2.2189073533923396</v>
      </c>
      <c r="G51" s="10">
        <f t="shared" si="41"/>
        <v>1.9411350302624113</v>
      </c>
      <c r="H51" s="10">
        <f t="shared" si="41"/>
        <v>1.7329422456955839</v>
      </c>
      <c r="I51" s="10">
        <f t="shared" si="41"/>
        <v>1.5711365451836456</v>
      </c>
      <c r="J51" s="10">
        <f t="shared" si="41"/>
        <v>1.4418024612323312</v>
      </c>
      <c r="K51" s="10">
        <f t="shared" si="41"/>
        <v>1.3360847011296362</v>
      </c>
      <c r="L51" s="10">
        <f t="shared" si="41"/>
        <v>1.248079740830492</v>
      </c>
      <c r="M51" s="10">
        <f t="shared" si="41"/>
        <v>1.1737005293567013</v>
      </c>
      <c r="N51" s="10">
        <f t="shared" si="41"/>
        <v>1.110027748454496</v>
      </c>
      <c r="O51" s="10">
        <f t="shared" si="41"/>
        <v>1.0549205683895146</v>
      </c>
      <c r="P51" s="10">
        <f t="shared" si="41"/>
        <v>1.0067733703190769</v>
      </c>
      <c r="Q51" s="10">
        <f t="shared" si="41"/>
        <v>0.9643583313569868</v>
      </c>
      <c r="R51" s="10">
        <f t="shared" si="41"/>
        <v>0.9267204812837868</v>
      </c>
      <c r="S51" s="10">
        <f t="shared" si="41"/>
        <v>0.8931058992436067</v>
      </c>
      <c r="T51" s="10">
        <f t="shared" si="41"/>
        <v>0.8629114514323116</v>
      </c>
      <c r="W51" s="2" t="s">
        <v>33</v>
      </c>
      <c r="X51" s="1">
        <v>0.9</v>
      </c>
      <c r="Y51" s="1">
        <f>X47*X51</f>
        <v>0.765</v>
      </c>
    </row>
    <row r="52" spans="1:24" ht="18" customHeight="1">
      <c r="A52" s="70"/>
      <c r="B52" s="71"/>
      <c r="C52" s="3" t="s">
        <v>28</v>
      </c>
      <c r="D52" s="3">
        <f aca="true" t="shared" si="42" ref="D52:T52">D$4*D$51</f>
        <v>31.919227702777498</v>
      </c>
      <c r="E52" s="3">
        <f t="shared" si="42"/>
        <v>32.60007054398101</v>
      </c>
      <c r="F52" s="3">
        <f t="shared" si="42"/>
        <v>33.283610300885094</v>
      </c>
      <c r="G52" s="3">
        <f t="shared" si="42"/>
        <v>33.9698630295922</v>
      </c>
      <c r="H52" s="3">
        <f t="shared" si="42"/>
        <v>34.65884491391168</v>
      </c>
      <c r="I52" s="3">
        <f t="shared" si="42"/>
        <v>35.35057226663203</v>
      </c>
      <c r="J52" s="3">
        <f t="shared" si="42"/>
        <v>36.04506153080828</v>
      </c>
      <c r="K52" s="3">
        <f t="shared" si="42"/>
        <v>36.742329281065</v>
      </c>
      <c r="L52" s="3">
        <f t="shared" si="42"/>
        <v>37.44239222491476</v>
      </c>
      <c r="M52" s="3">
        <f t="shared" si="42"/>
        <v>38.1452672040928</v>
      </c>
      <c r="N52" s="3">
        <f t="shared" si="42"/>
        <v>38.85097119590736</v>
      </c>
      <c r="O52" s="3">
        <f t="shared" si="42"/>
        <v>39.5595213146068</v>
      </c>
      <c r="P52" s="3">
        <f t="shared" si="42"/>
        <v>40.27093481276307</v>
      </c>
      <c r="Q52" s="3">
        <f t="shared" si="42"/>
        <v>40.985229082671935</v>
      </c>
      <c r="R52" s="3">
        <f t="shared" si="42"/>
        <v>41.70242165777041</v>
      </c>
      <c r="S52" s="3">
        <f t="shared" si="42"/>
        <v>42.42253021407132</v>
      </c>
      <c r="T52" s="3">
        <f t="shared" si="42"/>
        <v>43.14557257161558</v>
      </c>
      <c r="W52" s="2" t="s">
        <v>34</v>
      </c>
      <c r="X52" s="1">
        <f>X47*X49*X51</f>
        <v>0.6120000000000001</v>
      </c>
    </row>
    <row r="53" ht="18" customHeight="1">
      <c r="W53" s="2"/>
    </row>
    <row r="54" spans="23:24" ht="18" customHeight="1">
      <c r="W54" s="2" t="s">
        <v>35</v>
      </c>
      <c r="X54" s="1">
        <v>20</v>
      </c>
    </row>
    <row r="55" spans="23:24" ht="18" customHeight="1">
      <c r="W55" s="2" t="s">
        <v>36</v>
      </c>
      <c r="X55" s="1">
        <v>48</v>
      </c>
    </row>
    <row r="56" spans="23:24" ht="18" customHeight="1">
      <c r="W56" s="2" t="s">
        <v>37</v>
      </c>
      <c r="X56" s="1">
        <f>2*X55*X54</f>
        <v>1920</v>
      </c>
    </row>
    <row r="57" spans="3:20" ht="18" customHeight="1">
      <c r="C57" s="3" t="s">
        <v>52</v>
      </c>
      <c r="D57" s="11">
        <f>ABS(D$12/(D$7*D$6))</f>
        <v>220.25321729741523</v>
      </c>
      <c r="E57" s="11">
        <f aca="true" t="shared" si="43" ref="E57:T57">ABS(E$12/(E$7*E$6))</f>
        <v>267.67411789084764</v>
      </c>
      <c r="F57" s="11">
        <f t="shared" si="43"/>
        <v>312.37915759573275</v>
      </c>
      <c r="G57" s="11">
        <f t="shared" si="43"/>
        <v>354.51709007961085</v>
      </c>
      <c r="H57" s="11">
        <f t="shared" si="43"/>
        <v>394.2260003713759</v>
      </c>
      <c r="I57" s="11">
        <f t="shared" si="43"/>
        <v>431.63424445998095</v>
      </c>
      <c r="J57" s="11">
        <f t="shared" si="43"/>
        <v>466.8612913102048</v>
      </c>
      <c r="K57" s="11">
        <f t="shared" si="43"/>
        <v>500.0184789179685</v>
      </c>
      <c r="L57" s="11">
        <f t="shared" si="43"/>
        <v>531.2096944721233</v>
      </c>
      <c r="M57" s="11">
        <f t="shared" si="43"/>
        <v>560.53198736443</v>
      </c>
      <c r="N57" s="11">
        <f t="shared" si="43"/>
        <v>588.0761226573354</v>
      </c>
      <c r="O57" s="11">
        <f t="shared" si="43"/>
        <v>613.9270816493361</v>
      </c>
      <c r="P57" s="11">
        <f t="shared" si="43"/>
        <v>638.1645153447959</v>
      </c>
      <c r="Q57" s="11">
        <f t="shared" si="43"/>
        <v>660.8631559178682</v>
      </c>
      <c r="R57" s="11">
        <f t="shared" si="43"/>
        <v>682.0931906411215</v>
      </c>
      <c r="S57" s="11">
        <f t="shared" si="43"/>
        <v>701.9206022138319</v>
      </c>
      <c r="T57" s="11">
        <f t="shared" si="43"/>
        <v>720.4074789604272</v>
      </c>
    </row>
    <row r="58" spans="3:20" ht="18" customHeight="1">
      <c r="C58" s="3" t="s">
        <v>53</v>
      </c>
      <c r="D58" s="11">
        <f>ABS(D$21/(D$7*D$6))</f>
        <v>481.01231875317825</v>
      </c>
      <c r="E58" s="11">
        <f aca="true" t="shared" si="44" ref="E58:T58">ABS(E$21/(E$7*E$6))</f>
        <v>587.4464818981457</v>
      </c>
      <c r="F58" s="11">
        <f t="shared" si="44"/>
        <v>688.9698530614918</v>
      </c>
      <c r="G58" s="11">
        <f t="shared" si="44"/>
        <v>785.8514071089301</v>
      </c>
      <c r="H58" s="11">
        <f t="shared" si="44"/>
        <v>878.3408279824971</v>
      </c>
      <c r="I58" s="11">
        <f t="shared" si="44"/>
        <v>966.6702076733546</v>
      </c>
      <c r="J58" s="11">
        <f t="shared" si="44"/>
        <v>1051.055568746121</v>
      </c>
      <c r="K58" s="11">
        <f t="shared" si="44"/>
        <v>1131.6982314303868</v>
      </c>
      <c r="L58" s="11">
        <f t="shared" si="44"/>
        <v>1208.7860434823294</v>
      </c>
      <c r="M58" s="11">
        <f t="shared" si="44"/>
        <v>1282.4944886231106</v>
      </c>
      <c r="N58" s="11">
        <f t="shared" si="44"/>
        <v>1352.9876873136693</v>
      </c>
      <c r="O58" s="11">
        <f t="shared" si="44"/>
        <v>1420.4193018719125</v>
      </c>
      <c r="P58" s="11">
        <f t="shared" si="44"/>
        <v>1484.933356432215</v>
      </c>
      <c r="Q58" s="11">
        <f t="shared" si="44"/>
        <v>1546.6649809502946</v>
      </c>
      <c r="R58" s="11">
        <f t="shared" si="44"/>
        <v>1605.7410873371366</v>
      </c>
      <c r="S58" s="11">
        <f t="shared" si="44"/>
        <v>1662.2809848371514</v>
      </c>
      <c r="T58" s="11">
        <f t="shared" si="44"/>
        <v>1716.3969409258327</v>
      </c>
    </row>
    <row r="59" spans="3:20" ht="18" customHeight="1">
      <c r="C59" s="3" t="s">
        <v>54</v>
      </c>
      <c r="D59" s="11">
        <f aca="true" t="shared" si="45" ref="D59:T59">ABS(D$30/(D$7*D$6))</f>
        <v>741.7714202089411</v>
      </c>
      <c r="E59" s="11">
        <f t="shared" si="45"/>
        <v>907.2188459054437</v>
      </c>
      <c r="F59" s="11">
        <f t="shared" si="45"/>
        <v>1065.5605485272508</v>
      </c>
      <c r="G59" s="11">
        <f t="shared" si="45"/>
        <v>1217.185724138249</v>
      </c>
      <c r="H59" s="11">
        <f t="shared" si="45"/>
        <v>1362.4556555936178</v>
      </c>
      <c r="I59" s="11">
        <f t="shared" si="45"/>
        <v>1501.7061708867282</v>
      </c>
      <c r="J59" s="11">
        <f t="shared" si="45"/>
        <v>1635.2498461820371</v>
      </c>
      <c r="K59" s="11">
        <f t="shared" si="45"/>
        <v>1763.3779839428046</v>
      </c>
      <c r="L59" s="11">
        <f t="shared" si="45"/>
        <v>1886.3623924925353</v>
      </c>
      <c r="M59" s="11">
        <f t="shared" si="45"/>
        <v>2004.4569898817904</v>
      </c>
      <c r="N59" s="11">
        <f t="shared" si="45"/>
        <v>2117.8992519700028</v>
      </c>
      <c r="O59" s="11">
        <f t="shared" si="45"/>
        <v>2226.9115220944886</v>
      </c>
      <c r="P59" s="11">
        <f t="shared" si="45"/>
        <v>2331.702197519634</v>
      </c>
      <c r="Q59" s="11">
        <f t="shared" si="45"/>
        <v>2432.4668059827204</v>
      </c>
      <c r="R59" s="11">
        <f t="shared" si="45"/>
        <v>2529.3889840331517</v>
      </c>
      <c r="S59" s="11">
        <f t="shared" si="45"/>
        <v>2622.6413674604696</v>
      </c>
      <c r="T59" s="11">
        <f t="shared" si="45"/>
        <v>2712.386402891237</v>
      </c>
    </row>
    <row r="60" spans="3:20" ht="18" customHeight="1">
      <c r="C60" s="3" t="s">
        <v>55</v>
      </c>
      <c r="D60" s="11">
        <f>ABS(D$39/(D$7*D$6))</f>
        <v>872.1509709368228</v>
      </c>
      <c r="E60" s="11">
        <f aca="true" t="shared" si="46" ref="E60:T60">ABS(E$39/(E$7*E$6))</f>
        <v>1067.1050279090928</v>
      </c>
      <c r="F60" s="11">
        <f t="shared" si="46"/>
        <v>1253.8558962601307</v>
      </c>
      <c r="G60" s="11">
        <f t="shared" si="46"/>
        <v>1432.852882652909</v>
      </c>
      <c r="H60" s="11">
        <f t="shared" si="46"/>
        <v>1604.513069399179</v>
      </c>
      <c r="I60" s="11">
        <f t="shared" si="46"/>
        <v>1769.2241524934154</v>
      </c>
      <c r="J60" s="11">
        <f t="shared" si="46"/>
        <v>1927.3469848999955</v>
      </c>
      <c r="K60" s="11">
        <f t="shared" si="46"/>
        <v>2079.217860199014</v>
      </c>
      <c r="L60" s="11">
        <f t="shared" si="46"/>
        <v>2225.1505669976386</v>
      </c>
      <c r="M60" s="11">
        <f t="shared" si="46"/>
        <v>2365.4382405111314</v>
      </c>
      <c r="N60" s="11">
        <f t="shared" si="46"/>
        <v>2500.3550342981703</v>
      </c>
      <c r="O60" s="11">
        <f t="shared" si="46"/>
        <v>2630.157632205777</v>
      </c>
      <c r="P60" s="11">
        <f t="shared" si="46"/>
        <v>2755.0866180633448</v>
      </c>
      <c r="Q60" s="11">
        <f t="shared" si="46"/>
        <v>2875.3677184989347</v>
      </c>
      <c r="R60" s="11">
        <f t="shared" si="46"/>
        <v>2991.2129323811596</v>
      </c>
      <c r="S60" s="11">
        <f t="shared" si="46"/>
        <v>3102.8215587721306</v>
      </c>
      <c r="T60" s="11">
        <f t="shared" si="46"/>
        <v>3210.3811338739406</v>
      </c>
    </row>
    <row r="61" spans="3:20" ht="18" customHeight="1">
      <c r="C61" s="3" t="s">
        <v>56</v>
      </c>
      <c r="D61" s="11">
        <f aca="true" t="shared" si="47" ref="D61:T61">ABS(D$48/(D$7*D$6))</f>
        <v>1002.530521664704</v>
      </c>
      <c r="E61" s="11">
        <f t="shared" si="47"/>
        <v>1226.9912099127419</v>
      </c>
      <c r="F61" s="11">
        <f t="shared" si="47"/>
        <v>1442.15124399301</v>
      </c>
      <c r="G61" s="11">
        <f t="shared" si="47"/>
        <v>1648.5200411675687</v>
      </c>
      <c r="H61" s="11">
        <f t="shared" si="47"/>
        <v>1846.570483204739</v>
      </c>
      <c r="I61" s="11">
        <f t="shared" si="47"/>
        <v>2036.742134100102</v>
      </c>
      <c r="J61" s="11">
        <f t="shared" si="47"/>
        <v>2219.4441236179537</v>
      </c>
      <c r="K61" s="11">
        <f t="shared" si="47"/>
        <v>2395.057736455223</v>
      </c>
      <c r="L61" s="11">
        <f t="shared" si="47"/>
        <v>2563.938741502742</v>
      </c>
      <c r="M61" s="11">
        <f t="shared" si="47"/>
        <v>2726.4194911404716</v>
      </c>
      <c r="N61" s="11">
        <f t="shared" si="47"/>
        <v>2882.8108166263373</v>
      </c>
      <c r="O61" s="11">
        <f t="shared" si="47"/>
        <v>3033.4037423170657</v>
      </c>
      <c r="P61" s="11">
        <f t="shared" si="47"/>
        <v>3178.4710386070537</v>
      </c>
      <c r="Q61" s="11">
        <f t="shared" si="47"/>
        <v>3318.268631015147</v>
      </c>
      <c r="R61" s="11">
        <f t="shared" si="47"/>
        <v>3453.0368807291675</v>
      </c>
      <c r="S61" s="11">
        <f t="shared" si="47"/>
        <v>3583.0017500837903</v>
      </c>
      <c r="T61" s="11">
        <f t="shared" si="47"/>
        <v>3708.375864856643</v>
      </c>
    </row>
  </sheetData>
  <mergeCells count="6">
    <mergeCell ref="A42:B43"/>
    <mergeCell ref="A51:B52"/>
    <mergeCell ref="A4:B5"/>
    <mergeCell ref="A15:B16"/>
    <mergeCell ref="A24:B25"/>
    <mergeCell ref="A33:B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1:G23"/>
  <sheetViews>
    <sheetView workbookViewId="0" topLeftCell="A28">
      <selection activeCell="C7" sqref="C7:C23"/>
    </sheetView>
  </sheetViews>
  <sheetFormatPr defaultColWidth="11.421875" defaultRowHeight="12.75"/>
  <sheetData>
    <row r="1" spans="2:3" ht="12.75">
      <c r="B1" s="79" t="s">
        <v>39</v>
      </c>
      <c r="C1" s="79"/>
    </row>
    <row r="2" spans="2:7" ht="12.75">
      <c r="B2" s="79" t="s">
        <v>38</v>
      </c>
      <c r="C2" s="79"/>
      <c r="E2">
        <v>0.33</v>
      </c>
      <c r="F2" t="s">
        <v>65</v>
      </c>
      <c r="G2" t="s">
        <v>66</v>
      </c>
    </row>
    <row r="3" spans="2:3" ht="12.75">
      <c r="B3" t="s">
        <v>40</v>
      </c>
      <c r="C3">
        <v>0.000625</v>
      </c>
    </row>
    <row r="4" spans="2:3" ht="12.75">
      <c r="B4" t="s">
        <v>41</v>
      </c>
      <c r="C4">
        <v>0.6</v>
      </c>
    </row>
    <row r="6" spans="2:4" ht="12.75">
      <c r="B6" t="s">
        <v>42</v>
      </c>
      <c r="C6" t="s">
        <v>45</v>
      </c>
      <c r="D6" t="s">
        <v>37</v>
      </c>
    </row>
    <row r="7" spans="2:3" ht="12.75">
      <c r="B7" s="18">
        <v>80.38128438984613</v>
      </c>
      <c r="C7" s="18">
        <f>$C$3*$B7+$C$4</f>
        <v>0.6502383027436538</v>
      </c>
    </row>
    <row r="8" spans="2:3" ht="12.75">
      <c r="B8" s="18">
        <v>100.47660548730768</v>
      </c>
      <c r="C8" s="18">
        <f aca="true" t="shared" si="0" ref="C8:C23">$C$3*$B8+$C$4</f>
        <v>0.6627978784295673</v>
      </c>
    </row>
    <row r="9" spans="2:3" ht="12.75">
      <c r="B9" s="18">
        <v>120.5719265847692</v>
      </c>
      <c r="C9" s="18">
        <f t="shared" si="0"/>
        <v>0.6753574541154808</v>
      </c>
    </row>
    <row r="10" spans="2:3" ht="12.75">
      <c r="B10" s="18">
        <v>140.6672476822307</v>
      </c>
      <c r="C10" s="18">
        <f t="shared" si="0"/>
        <v>0.6879170298013941</v>
      </c>
    </row>
    <row r="11" spans="2:3" ht="12.75">
      <c r="B11" s="18">
        <v>160.76256877969226</v>
      </c>
      <c r="C11" s="18">
        <f t="shared" si="0"/>
        <v>0.7004766054873076</v>
      </c>
    </row>
    <row r="12" spans="2:3" ht="12.75">
      <c r="B12" s="18">
        <v>180.85788987715378</v>
      </c>
      <c r="C12" s="18">
        <f t="shared" si="0"/>
        <v>0.7130361811732211</v>
      </c>
    </row>
    <row r="13" spans="2:3" ht="12.75">
      <c r="B13" s="18">
        <v>200.95321097461536</v>
      </c>
      <c r="C13" s="18">
        <f t="shared" si="0"/>
        <v>0.7255957568591346</v>
      </c>
    </row>
    <row r="14" spans="2:3" ht="12.75">
      <c r="B14" s="18">
        <v>221.04853207207682</v>
      </c>
      <c r="C14" s="18">
        <f t="shared" si="0"/>
        <v>0.7381553325450481</v>
      </c>
    </row>
    <row r="15" spans="2:3" ht="12.75">
      <c r="B15" s="18">
        <v>241.1438531695384</v>
      </c>
      <c r="C15" s="18">
        <f t="shared" si="0"/>
        <v>0.7507149082309614</v>
      </c>
    </row>
    <row r="16" spans="2:3" ht="12.75">
      <c r="B16" s="18">
        <v>261.2391742669999</v>
      </c>
      <c r="C16" s="18">
        <f t="shared" si="0"/>
        <v>0.7632744839168749</v>
      </c>
    </row>
    <row r="17" spans="2:3" ht="12.75">
      <c r="B17" s="18">
        <v>281.3344953644614</v>
      </c>
      <c r="C17" s="18">
        <f t="shared" si="0"/>
        <v>0.7758340596027884</v>
      </c>
    </row>
    <row r="18" spans="2:3" ht="12.75">
      <c r="B18">
        <v>301.429816461923</v>
      </c>
      <c r="C18" s="18">
        <f t="shared" si="0"/>
        <v>0.7883936352887019</v>
      </c>
    </row>
    <row r="19" spans="2:3" ht="12.75">
      <c r="B19">
        <v>321.5251375593845</v>
      </c>
      <c r="C19" s="18">
        <f t="shared" si="0"/>
        <v>0.8009532109746154</v>
      </c>
    </row>
    <row r="20" spans="2:3" ht="12.75">
      <c r="B20">
        <v>341.6204586568461</v>
      </c>
      <c r="C20" s="18">
        <f t="shared" si="0"/>
        <v>0.8135127866605287</v>
      </c>
    </row>
    <row r="21" spans="2:3" ht="12.75">
      <c r="B21">
        <v>361.71577975430756</v>
      </c>
      <c r="C21" s="18">
        <f t="shared" si="0"/>
        <v>0.8260723623464422</v>
      </c>
    </row>
    <row r="22" spans="2:3" ht="12.75">
      <c r="B22">
        <v>381.8111008517691</v>
      </c>
      <c r="C22" s="18">
        <f t="shared" si="0"/>
        <v>0.8386319380323557</v>
      </c>
    </row>
    <row r="23" spans="2:3" ht="12.75">
      <c r="B23">
        <v>401.9064219492307</v>
      </c>
      <c r="C23" s="18">
        <f t="shared" si="0"/>
        <v>0.8511915137182692</v>
      </c>
    </row>
  </sheetData>
  <mergeCells count="2">
    <mergeCell ref="B1:C1"/>
    <mergeCell ref="B2:C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N41"/>
  <sheetViews>
    <sheetView workbookViewId="0" topLeftCell="B6">
      <selection activeCell="I27" sqref="I27"/>
    </sheetView>
  </sheetViews>
  <sheetFormatPr defaultColWidth="11.421875" defaultRowHeight="12.75"/>
  <cols>
    <col min="1" max="1" width="11.421875" style="23" customWidth="1"/>
    <col min="2" max="2" width="13.140625" style="23" customWidth="1"/>
    <col min="3" max="6" width="9.140625" style="23" customWidth="1"/>
    <col min="7" max="7" width="9.140625" style="23" bestFit="1" customWidth="1"/>
    <col min="8" max="8" width="15.421875" style="23" customWidth="1"/>
    <col min="9" max="11" width="9.140625" style="23" customWidth="1"/>
    <col min="12" max="13" width="9.140625" style="23" bestFit="1" customWidth="1"/>
    <col min="14" max="14" width="15.421875" style="23" customWidth="1"/>
    <col min="15" max="16384" width="11.421875" style="23" customWidth="1"/>
  </cols>
  <sheetData>
    <row r="4" spans="3:11" ht="12.75">
      <c r="C4" s="22"/>
      <c r="D4" s="22"/>
      <c r="E4" s="22"/>
      <c r="F4" s="22"/>
      <c r="G4" s="22"/>
      <c r="H4" s="22"/>
      <c r="I4" s="22"/>
      <c r="J4" s="22"/>
      <c r="K4" s="22"/>
    </row>
    <row r="5" spans="3:11" ht="12.75">
      <c r="C5" s="22"/>
      <c r="D5" s="22"/>
      <c r="E5" s="22"/>
      <c r="F5" s="22"/>
      <c r="G5" s="22"/>
      <c r="H5" s="22"/>
      <c r="I5" s="22"/>
      <c r="J5" s="22"/>
      <c r="K5" s="22"/>
    </row>
    <row r="6" spans="3:11" ht="12.75">
      <c r="C6" s="22"/>
      <c r="D6" s="22"/>
      <c r="E6" s="22"/>
      <c r="F6" s="22"/>
      <c r="G6" s="22"/>
      <c r="H6" s="22"/>
      <c r="I6" s="22"/>
      <c r="J6" s="22"/>
      <c r="K6" s="22"/>
    </row>
    <row r="7" spans="3:11" ht="12.75">
      <c r="C7" s="22"/>
      <c r="D7" s="22"/>
      <c r="E7" s="22"/>
      <c r="F7" s="22"/>
      <c r="G7" s="22"/>
      <c r="H7" s="22"/>
      <c r="I7" s="22"/>
      <c r="J7" s="22"/>
      <c r="K7" s="22"/>
    </row>
    <row r="8" spans="3:11" ht="12.75">
      <c r="C8" s="22"/>
      <c r="D8" s="22"/>
      <c r="E8" s="22"/>
      <c r="F8" s="22"/>
      <c r="G8" s="22"/>
      <c r="H8" s="22"/>
      <c r="I8" s="22"/>
      <c r="J8" s="22"/>
      <c r="K8" s="22"/>
    </row>
    <row r="9" spans="3:11" ht="12.75">
      <c r="C9" s="22"/>
      <c r="D9" s="22"/>
      <c r="E9" s="22"/>
      <c r="F9" s="22"/>
      <c r="G9" s="22"/>
      <c r="H9" s="22"/>
      <c r="I9" s="22"/>
      <c r="J9" s="22"/>
      <c r="K9" s="22"/>
    </row>
    <row r="10" spans="3:11" ht="12.75">
      <c r="C10" s="22"/>
      <c r="D10" s="22"/>
      <c r="E10" s="22"/>
      <c r="F10" s="22"/>
      <c r="G10" s="22"/>
      <c r="H10" s="22"/>
      <c r="I10" s="22"/>
      <c r="J10" s="22"/>
      <c r="K10" s="22"/>
    </row>
    <row r="11" spans="3:11" ht="12.75">
      <c r="C11" s="22"/>
      <c r="D11" s="22"/>
      <c r="E11" s="22"/>
      <c r="F11" s="22"/>
      <c r="G11" s="22"/>
      <c r="H11" s="22"/>
      <c r="I11" s="22"/>
      <c r="J11" s="22"/>
      <c r="K11" s="22"/>
    </row>
    <row r="12" spans="3:11" ht="12.75">
      <c r="C12" s="22"/>
      <c r="D12" s="22"/>
      <c r="E12" s="22"/>
      <c r="F12" s="22"/>
      <c r="G12" s="22"/>
      <c r="H12" s="22"/>
      <c r="I12" s="22"/>
      <c r="J12" s="22"/>
      <c r="K12" s="22"/>
    </row>
    <row r="13" spans="3:11" ht="12.75">
      <c r="C13" s="22"/>
      <c r="D13" s="22"/>
      <c r="E13" s="22"/>
      <c r="F13" s="22"/>
      <c r="G13" s="22"/>
      <c r="H13" s="22"/>
      <c r="I13" s="22"/>
      <c r="J13" s="22"/>
      <c r="K13" s="22"/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spans="3:11" ht="12.75">
      <c r="C15" s="22"/>
      <c r="D15" s="22"/>
      <c r="E15" s="22"/>
      <c r="F15" s="22"/>
      <c r="G15" s="22"/>
      <c r="H15" s="22"/>
      <c r="I15" s="22"/>
      <c r="J15" s="22"/>
      <c r="K15" s="22"/>
    </row>
    <row r="16" spans="3:11" ht="12.75">
      <c r="C16" s="22"/>
      <c r="D16" s="22"/>
      <c r="E16" s="22"/>
      <c r="F16" s="22"/>
      <c r="G16" s="22"/>
      <c r="H16" s="22"/>
      <c r="I16" s="22"/>
      <c r="J16" s="22"/>
      <c r="K16" s="22"/>
    </row>
    <row r="17" spans="3:11" ht="12.75">
      <c r="C17" s="22"/>
      <c r="D17" s="22"/>
      <c r="E17" s="22"/>
      <c r="F17" s="22"/>
      <c r="G17" s="22"/>
      <c r="H17" s="22"/>
      <c r="I17" s="22"/>
      <c r="J17" s="22"/>
      <c r="K17" s="22"/>
    </row>
    <row r="18" spans="3:11" ht="12.75">
      <c r="C18" s="22"/>
      <c r="D18" s="22"/>
      <c r="E18" s="22"/>
      <c r="F18" s="22"/>
      <c r="G18" s="22"/>
      <c r="H18" s="22"/>
      <c r="I18" s="22"/>
      <c r="J18" s="22"/>
      <c r="K18" s="22"/>
    </row>
    <row r="19" spans="3:11" ht="12.75">
      <c r="C19" s="22"/>
      <c r="D19" s="22"/>
      <c r="E19" s="22"/>
      <c r="F19" s="22"/>
      <c r="G19" s="22"/>
      <c r="H19" s="22"/>
      <c r="I19" s="22"/>
      <c r="J19" s="22"/>
      <c r="K19" s="22"/>
    </row>
    <row r="20" ht="12.75"/>
    <row r="21" spans="4:5" ht="12.75">
      <c r="D21" s="22"/>
      <c r="E21" s="9"/>
    </row>
    <row r="22" spans="4:5" ht="12.75">
      <c r="D22" s="22"/>
      <c r="E22" s="9"/>
    </row>
    <row r="23" spans="4:5" ht="12.75">
      <c r="D23" s="22"/>
      <c r="E23" s="9"/>
    </row>
    <row r="25" ht="13.5" thickBot="1"/>
    <row r="26" spans="2:14" ht="12.75">
      <c r="B26" s="26" t="s">
        <v>57</v>
      </c>
      <c r="C26" s="27">
        <v>15</v>
      </c>
      <c r="D26" s="27">
        <v>25</v>
      </c>
      <c r="E26" s="28">
        <v>50</v>
      </c>
      <c r="F26" s="35">
        <v>15</v>
      </c>
      <c r="G26" s="27">
        <v>25</v>
      </c>
      <c r="H26" s="28">
        <v>50</v>
      </c>
      <c r="I26" s="35">
        <v>15</v>
      </c>
      <c r="J26" s="27">
        <v>25</v>
      </c>
      <c r="K26" s="28">
        <v>50</v>
      </c>
      <c r="L26" s="35">
        <v>15</v>
      </c>
      <c r="M26" s="27">
        <v>25</v>
      </c>
      <c r="N26" s="28">
        <v>50</v>
      </c>
    </row>
    <row r="27" spans="2:14" ht="12.75">
      <c r="B27" s="29" t="s">
        <v>14</v>
      </c>
      <c r="C27" s="24">
        <v>0</v>
      </c>
      <c r="D27" s="24">
        <v>0</v>
      </c>
      <c r="E27" s="30">
        <v>0</v>
      </c>
      <c r="F27" s="29">
        <v>457.8</v>
      </c>
      <c r="G27" s="24">
        <v>763</v>
      </c>
      <c r="H27" s="30">
        <v>1526</v>
      </c>
      <c r="I27" s="29">
        <v>-343</v>
      </c>
      <c r="J27" s="24">
        <v>-572</v>
      </c>
      <c r="K27" s="30">
        <v>-1144</v>
      </c>
      <c r="L27" s="29">
        <v>687</v>
      </c>
      <c r="M27" s="24">
        <v>1144</v>
      </c>
      <c r="N27" s="30">
        <v>2289</v>
      </c>
    </row>
    <row r="28" spans="2:14" ht="12.75">
      <c r="B28" s="29" t="s">
        <v>15</v>
      </c>
      <c r="C28" s="24">
        <v>10.41</v>
      </c>
      <c r="D28" s="24">
        <v>29</v>
      </c>
      <c r="E28" s="30">
        <v>115.8</v>
      </c>
      <c r="F28" s="29">
        <v>10.41</v>
      </c>
      <c r="G28" s="24">
        <v>29</v>
      </c>
      <c r="H28" s="30">
        <v>115.8</v>
      </c>
      <c r="I28" s="29">
        <v>10.41</v>
      </c>
      <c r="J28" s="24">
        <v>29</v>
      </c>
      <c r="K28" s="30">
        <v>115.8</v>
      </c>
      <c r="L28" s="29">
        <v>10.41</v>
      </c>
      <c r="M28" s="24">
        <v>29</v>
      </c>
      <c r="N28" s="30">
        <v>115.8</v>
      </c>
    </row>
    <row r="29" spans="2:14" ht="12.75">
      <c r="B29" s="29" t="s">
        <v>16</v>
      </c>
      <c r="C29" s="24">
        <v>28.6</v>
      </c>
      <c r="D29" s="24">
        <v>47.7</v>
      </c>
      <c r="E29" s="30">
        <v>95.4</v>
      </c>
      <c r="F29" s="29">
        <v>28.6</v>
      </c>
      <c r="G29" s="24">
        <v>47.7</v>
      </c>
      <c r="H29" s="30">
        <v>95.4</v>
      </c>
      <c r="I29" s="29">
        <v>28.6</v>
      </c>
      <c r="J29" s="24">
        <v>47.7</v>
      </c>
      <c r="K29" s="30">
        <v>95.4</v>
      </c>
      <c r="L29" s="29">
        <v>28.6</v>
      </c>
      <c r="M29" s="24">
        <v>47.7</v>
      </c>
      <c r="N29" s="30">
        <v>95.4</v>
      </c>
    </row>
    <row r="30" spans="2:14" ht="12.75">
      <c r="B30" s="29" t="s">
        <v>58</v>
      </c>
      <c r="C30" s="24">
        <v>39</v>
      </c>
      <c r="D30" s="24">
        <v>76.7</v>
      </c>
      <c r="E30" s="30">
        <v>221.2</v>
      </c>
      <c r="F30" s="29">
        <v>496.8</v>
      </c>
      <c r="G30" s="24">
        <v>839.7</v>
      </c>
      <c r="H30" s="30">
        <v>1737</v>
      </c>
      <c r="I30" s="29">
        <v>-304</v>
      </c>
      <c r="J30" s="24">
        <v>-495</v>
      </c>
      <c r="K30" s="30">
        <v>-833</v>
      </c>
      <c r="L30" s="29">
        <v>726</v>
      </c>
      <c r="M30" s="24">
        <v>1220</v>
      </c>
      <c r="N30" s="30">
        <v>2500</v>
      </c>
    </row>
    <row r="31" spans="2:14" ht="12.75">
      <c r="B31" s="29" t="s">
        <v>59</v>
      </c>
      <c r="C31" s="25">
        <v>64.2</v>
      </c>
      <c r="D31" s="25">
        <v>117.4</v>
      </c>
      <c r="E31" s="31">
        <v>275.7</v>
      </c>
      <c r="F31" s="36">
        <v>816</v>
      </c>
      <c r="G31" s="25">
        <v>1274</v>
      </c>
      <c r="H31" s="31">
        <v>2268</v>
      </c>
      <c r="I31" s="36">
        <v>-184.7</v>
      </c>
      <c r="J31" s="25">
        <v>325.4</v>
      </c>
      <c r="K31" s="31">
        <v>-714</v>
      </c>
      <c r="L31" s="36">
        <v>1195</v>
      </c>
      <c r="M31" s="25">
        <v>1867</v>
      </c>
      <c r="N31" s="31">
        <v>3269</v>
      </c>
    </row>
    <row r="32" spans="2:14" ht="12.75">
      <c r="B32" s="29" t="s">
        <v>60</v>
      </c>
      <c r="C32" s="24">
        <v>1.3</v>
      </c>
      <c r="D32" s="24">
        <v>0.8</v>
      </c>
      <c r="E32" s="30">
        <v>0.5</v>
      </c>
      <c r="F32" s="29">
        <v>0.67</v>
      </c>
      <c r="G32" s="24">
        <v>0.4</v>
      </c>
      <c r="H32" s="30">
        <v>0.2</v>
      </c>
      <c r="I32" s="29">
        <v>0.67</v>
      </c>
      <c r="J32" s="24">
        <v>0.4</v>
      </c>
      <c r="K32" s="30">
        <v>0.2</v>
      </c>
      <c r="L32" s="29">
        <v>0.67</v>
      </c>
      <c r="M32" s="24">
        <v>0.4</v>
      </c>
      <c r="N32" s="30">
        <v>0.2</v>
      </c>
    </row>
    <row r="33" spans="2:14" ht="12.75">
      <c r="B33" s="29" t="s">
        <v>61</v>
      </c>
      <c r="C33" s="24">
        <v>83.46</v>
      </c>
      <c r="D33" s="24">
        <v>94</v>
      </c>
      <c r="E33" s="30">
        <v>138</v>
      </c>
      <c r="F33" s="29">
        <v>546.7</v>
      </c>
      <c r="G33" s="24">
        <v>509.6</v>
      </c>
      <c r="H33" s="30">
        <v>453</v>
      </c>
      <c r="I33" s="29">
        <v>-126.7</v>
      </c>
      <c r="J33" s="24">
        <v>-129.3</v>
      </c>
      <c r="K33" s="30">
        <v>-142.8</v>
      </c>
      <c r="L33" s="29">
        <v>800.6</v>
      </c>
      <c r="M33" s="24">
        <v>746.8</v>
      </c>
      <c r="N33" s="30">
        <v>652</v>
      </c>
    </row>
    <row r="34" spans="2:14" ht="12.75">
      <c r="B34" s="29" t="s">
        <v>62</v>
      </c>
      <c r="C34" s="24">
        <v>300.5</v>
      </c>
      <c r="D34" s="24">
        <v>338.1</v>
      </c>
      <c r="E34" s="30">
        <v>496</v>
      </c>
      <c r="F34" s="29">
        <v>1970</v>
      </c>
      <c r="G34" s="24">
        <v>1830</v>
      </c>
      <c r="H34" s="30">
        <v>1633</v>
      </c>
      <c r="I34" s="29">
        <v>445.5</v>
      </c>
      <c r="J34" s="24">
        <v>-465.7</v>
      </c>
      <c r="K34" s="30">
        <v>-514</v>
      </c>
      <c r="L34" s="29">
        <v>2882</v>
      </c>
      <c r="M34" s="24">
        <v>2688</v>
      </c>
      <c r="N34" s="30">
        <v>1350</v>
      </c>
    </row>
    <row r="35" spans="2:14" ht="13.5" thickBot="1">
      <c r="B35" s="32" t="s">
        <v>50</v>
      </c>
      <c r="C35" s="33" t="str">
        <f>IF(C$31&gt;1920,"défaut Pmax elec","Pmax OK")</f>
        <v>Pmax OK</v>
      </c>
      <c r="D35" s="33" t="str">
        <f aca="true" t="shared" si="0" ref="D35:N35">IF(D$31&gt;1920,"défaut Pmax elec","Pmax OK")</f>
        <v>Pmax OK</v>
      </c>
      <c r="E35" s="34" t="str">
        <f t="shared" si="0"/>
        <v>Pmax OK</v>
      </c>
      <c r="F35" s="37" t="str">
        <f t="shared" si="0"/>
        <v>Pmax OK</v>
      </c>
      <c r="G35" s="33" t="str">
        <f t="shared" si="0"/>
        <v>Pmax OK</v>
      </c>
      <c r="H35" s="34" t="str">
        <f t="shared" si="0"/>
        <v>défaut Pmax elec</v>
      </c>
      <c r="I35" s="37" t="str">
        <f>IF(I$31&lt;-1920,"défaut Pmax elec","Pmax OK")</f>
        <v>Pmax OK</v>
      </c>
      <c r="J35" s="33" t="str">
        <f>IF(J$31&lt;-1920,"défaut Pmax elec","Pmax OK")</f>
        <v>Pmax OK</v>
      </c>
      <c r="K35" s="34" t="str">
        <f>IF(K$31&lt;-1920,"défaut Pmax elec","Pmax OK")</f>
        <v>Pmax OK</v>
      </c>
      <c r="L35" s="37" t="str">
        <f t="shared" si="0"/>
        <v>Pmax OK</v>
      </c>
      <c r="M35" s="33" t="str">
        <f t="shared" si="0"/>
        <v>Pmax OK</v>
      </c>
      <c r="N35" s="34" t="str">
        <f t="shared" si="0"/>
        <v>défaut Pmax elec</v>
      </c>
    </row>
    <row r="39" spans="2:6" ht="12.75">
      <c r="B39" s="81" t="s">
        <v>18</v>
      </c>
      <c r="C39" s="82"/>
      <c r="D39" s="24">
        <v>15</v>
      </c>
      <c r="E39" s="24">
        <v>25</v>
      </c>
      <c r="F39" s="24">
        <v>50</v>
      </c>
    </row>
    <row r="40" spans="2:6" ht="12.75">
      <c r="B40" s="81" t="s">
        <v>63</v>
      </c>
      <c r="C40" s="82"/>
      <c r="D40" s="24">
        <v>1080</v>
      </c>
      <c r="E40" s="24">
        <v>1254.5</v>
      </c>
      <c r="F40" s="24">
        <v>1469</v>
      </c>
    </row>
    <row r="41" spans="2:6" ht="12.75">
      <c r="B41" s="80" t="s">
        <v>64</v>
      </c>
      <c r="C41" s="80"/>
      <c r="D41" s="23">
        <f>C33+F33+I33+L33</f>
        <v>1304.0600000000002</v>
      </c>
      <c r="E41" s="23">
        <f>D33+G33+J33+M33</f>
        <v>1221.1</v>
      </c>
      <c r="F41" s="23">
        <f>E33+H33+K33+N33</f>
        <v>1100.2</v>
      </c>
    </row>
  </sheetData>
  <mergeCells count="3">
    <mergeCell ref="B41:C41"/>
    <mergeCell ref="B39:C39"/>
    <mergeCell ref="B40:C40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34">
      <selection activeCell="F46" sqref="F46"/>
    </sheetView>
  </sheetViews>
  <sheetFormatPr defaultColWidth="11.421875" defaultRowHeight="12.75"/>
  <cols>
    <col min="1" max="1" width="12.28125" style="1" customWidth="1"/>
    <col min="2" max="2" width="13.28125" style="1" customWidth="1"/>
    <col min="3" max="3" width="9.140625" style="1" bestFit="1" customWidth="1"/>
    <col min="4" max="7" width="7.57421875" style="1" bestFit="1" customWidth="1"/>
    <col min="8" max="19" width="6.57421875" style="1" bestFit="1" customWidth="1"/>
    <col min="20" max="21" width="5.57421875" style="1" customWidth="1"/>
    <col min="22" max="16384" width="11.421875" style="1" customWidth="1"/>
  </cols>
  <sheetData>
    <row r="1" spans="1:2" ht="12.75">
      <c r="A1" s="1" t="s">
        <v>67</v>
      </c>
      <c r="B1" s="1" t="s">
        <v>68</v>
      </c>
    </row>
    <row r="2" ht="12.75">
      <c r="A2" s="1" t="s">
        <v>69</v>
      </c>
    </row>
    <row r="4" ht="13.5" thickBot="1"/>
    <row r="5" spans="2:19" ht="38.25" customHeight="1">
      <c r="B5" s="55" t="s">
        <v>81</v>
      </c>
      <c r="C5" s="40">
        <f>10</f>
        <v>10</v>
      </c>
      <c r="D5" s="44">
        <v>12.5</v>
      </c>
      <c r="E5" s="40">
        <v>15</v>
      </c>
      <c r="F5" s="44">
        <v>17.5</v>
      </c>
      <c r="G5" s="40">
        <v>20</v>
      </c>
      <c r="H5" s="44">
        <v>22.5</v>
      </c>
      <c r="I5" s="40">
        <v>25</v>
      </c>
      <c r="J5" s="44">
        <v>27.5</v>
      </c>
      <c r="K5" s="40">
        <v>30</v>
      </c>
      <c r="L5" s="44">
        <v>32.5</v>
      </c>
      <c r="M5" s="40">
        <v>35</v>
      </c>
      <c r="N5" s="44">
        <v>37.5</v>
      </c>
      <c r="O5" s="40">
        <v>40</v>
      </c>
      <c r="P5" s="44">
        <v>42.5</v>
      </c>
      <c r="Q5" s="40">
        <v>45</v>
      </c>
      <c r="R5" s="44">
        <v>47.5</v>
      </c>
      <c r="S5" s="40">
        <v>50</v>
      </c>
    </row>
    <row r="6" spans="2:19" ht="12.75">
      <c r="B6" s="53">
        <v>0</v>
      </c>
      <c r="C6" s="42">
        <f aca="true" t="shared" si="0" ref="C6:L15">((($C$41*$C$40*$B6*C$5/3.6)+(0.5*$C$31*$C$39*$C$32*((C$5*C$5)/(3.6*3.6)))+($C$41*$C$40*$C$42*C$5/3.6))/(C$27*C$28))/C$5</f>
        <v>4.050588415834783</v>
      </c>
      <c r="D6" s="21">
        <f t="shared" si="0"/>
        <v>4.167859689316033</v>
      </c>
      <c r="E6" s="42">
        <f t="shared" si="0"/>
        <v>4.280769191335087</v>
      </c>
      <c r="F6" s="21">
        <f t="shared" si="0"/>
        <v>4.3895558256976255</v>
      </c>
      <c r="G6" s="42">
        <f t="shared" si="0"/>
        <v>4.494441361987256</v>
      </c>
      <c r="H6" s="21">
        <f t="shared" si="0"/>
        <v>4.595631944595238</v>
      </c>
      <c r="I6" s="42">
        <f t="shared" si="0"/>
        <v>4.69331944502846</v>
      </c>
      <c r="J6" s="21">
        <f t="shared" si="0"/>
        <v>4.787682676161809</v>
      </c>
      <c r="K6" s="42">
        <f t="shared" si="0"/>
        <v>4.878888484602759</v>
      </c>
      <c r="L6" s="21">
        <f t="shared" si="0"/>
        <v>4.967092735207708</v>
      </c>
      <c r="M6" s="42">
        <f aca="true" t="shared" si="1" ref="M6:S15">((($C$41*$C$40*$B6*M$5/3.6)+(0.5*$C$31*$C$39*$C$32*((M$5*M$5)/(3.6*3.6)))+($C$41*$C$40*$C$42*M$5/3.6))/(M$27*M$28))/M$5</f>
        <v>5.052441199971392</v>
      </c>
      <c r="N6" s="21">
        <f t="shared" si="1"/>
        <v>5.135070361953078</v>
      </c>
      <c r="O6" s="42">
        <f t="shared" si="1"/>
        <v>5.2151081435655895</v>
      </c>
      <c r="P6" s="21">
        <f t="shared" si="1"/>
        <v>5.292674567401363</v>
      </c>
      <c r="Q6" s="42">
        <f t="shared" si="1"/>
        <v>5.36788235677542</v>
      </c>
      <c r="R6" s="21">
        <f t="shared" si="1"/>
        <v>5.440837482305003</v>
      </c>
      <c r="S6" s="42">
        <f t="shared" si="1"/>
        <v>5.511639660099563</v>
      </c>
    </row>
    <row r="7" spans="2:19" ht="12.75">
      <c r="B7" s="53">
        <v>0.01</v>
      </c>
      <c r="C7" s="42">
        <f t="shared" si="0"/>
        <v>10.569565952228857</v>
      </c>
      <c r="D7" s="21">
        <f t="shared" si="0"/>
        <v>10.563306969461994</v>
      </c>
      <c r="E7" s="42">
        <f t="shared" si="0"/>
        <v>10.55728078243107</v>
      </c>
      <c r="F7" s="21">
        <f t="shared" si="0"/>
        <v>10.551474640402187</v>
      </c>
      <c r="G7" s="42">
        <f t="shared" si="0"/>
        <v>10.545876707126268</v>
      </c>
      <c r="H7" s="21">
        <f t="shared" si="0"/>
        <v>10.54047598029939</v>
      </c>
      <c r="I7" s="42">
        <f t="shared" si="0"/>
        <v>10.53526221938762</v>
      </c>
      <c r="J7" s="21">
        <f t="shared" si="0"/>
        <v>10.530225880820156</v>
      </c>
      <c r="K7" s="42">
        <f t="shared" si="0"/>
        <v>10.52535805968781</v>
      </c>
      <c r="L7" s="21">
        <f t="shared" si="0"/>
        <v>10.520650437197558</v>
      </c>
      <c r="M7" s="42">
        <f t="shared" si="1"/>
        <v>10.51609523323092</v>
      </c>
      <c r="N7" s="21">
        <f t="shared" si="1"/>
        <v>10.51168516343692</v>
      </c>
      <c r="O7" s="42">
        <f t="shared" si="1"/>
        <v>10.50741340036196</v>
      </c>
      <c r="P7" s="21">
        <f t="shared" si="1"/>
        <v>10.503273538180341</v>
      </c>
      <c r="Q7" s="42">
        <f t="shared" si="1"/>
        <v>10.499259560642173</v>
      </c>
      <c r="R7" s="21">
        <f t="shared" si="1"/>
        <v>10.495365811901422</v>
      </c>
      <c r="S7" s="42">
        <f t="shared" si="1"/>
        <v>10.491586969926589</v>
      </c>
    </row>
    <row r="8" spans="2:19" ht="12.75">
      <c r="B8" s="53">
        <v>0.02</v>
      </c>
      <c r="C8" s="42">
        <f t="shared" si="0"/>
        <v>17.088543488622935</v>
      </c>
      <c r="D8" s="21">
        <f t="shared" si="0"/>
        <v>16.958754249607953</v>
      </c>
      <c r="E8" s="42">
        <f t="shared" si="0"/>
        <v>16.833792373527057</v>
      </c>
      <c r="F8" s="21">
        <f t="shared" si="0"/>
        <v>16.713393455106747</v>
      </c>
      <c r="G8" s="42">
        <f t="shared" si="0"/>
        <v>16.59731205226528</v>
      </c>
      <c r="H8" s="21">
        <f t="shared" si="0"/>
        <v>16.48532001600354</v>
      </c>
      <c r="I8" s="42">
        <f t="shared" si="0"/>
        <v>16.377204993746787</v>
      </c>
      <c r="J8" s="21">
        <f t="shared" si="0"/>
        <v>16.272769085478505</v>
      </c>
      <c r="K8" s="42">
        <f t="shared" si="0"/>
        <v>16.17182763477286</v>
      </c>
      <c r="L8" s="21">
        <f t="shared" si="0"/>
        <v>16.074208139187405</v>
      </c>
      <c r="M8" s="42">
        <f t="shared" si="1"/>
        <v>15.979749266490451</v>
      </c>
      <c r="N8" s="21">
        <f t="shared" si="1"/>
        <v>15.888299964920767</v>
      </c>
      <c r="O8" s="42">
        <f t="shared" si="1"/>
        <v>15.799718657158332</v>
      </c>
      <c r="P8" s="21">
        <f t="shared" si="1"/>
        <v>15.713872508959318</v>
      </c>
      <c r="Q8" s="42">
        <f t="shared" si="1"/>
        <v>15.630636764508921</v>
      </c>
      <c r="R8" s="21">
        <f t="shared" si="1"/>
        <v>15.54989414149784</v>
      </c>
      <c r="S8" s="42">
        <f t="shared" si="1"/>
        <v>15.471534279753614</v>
      </c>
    </row>
    <row r="9" spans="2:19" ht="12.75">
      <c r="B9" s="53">
        <v>0.03</v>
      </c>
      <c r="C9" s="42">
        <f t="shared" si="0"/>
        <v>23.607521025017004</v>
      </c>
      <c r="D9" s="21">
        <f t="shared" si="0"/>
        <v>23.354201529753915</v>
      </c>
      <c r="E9" s="42">
        <f t="shared" si="0"/>
        <v>23.110303964623036</v>
      </c>
      <c r="F9" s="21">
        <f t="shared" si="0"/>
        <v>22.875312269811307</v>
      </c>
      <c r="G9" s="42">
        <f t="shared" si="0"/>
        <v>22.64874739740429</v>
      </c>
      <c r="H9" s="21">
        <f t="shared" si="0"/>
        <v>22.430164051707692</v>
      </c>
      <c r="I9" s="42">
        <f t="shared" si="0"/>
        <v>22.219147768105945</v>
      </c>
      <c r="J9" s="21">
        <f t="shared" si="0"/>
        <v>22.015312290136848</v>
      </c>
      <c r="K9" s="42">
        <f t="shared" si="0"/>
        <v>21.81829720985791</v>
      </c>
      <c r="L9" s="21">
        <f t="shared" si="0"/>
        <v>21.62776584117726</v>
      </c>
      <c r="M9" s="42">
        <f t="shared" si="1"/>
        <v>21.443403299749978</v>
      </c>
      <c r="N9" s="21">
        <f t="shared" si="1"/>
        <v>21.264914766404605</v>
      </c>
      <c r="O9" s="42">
        <f t="shared" si="1"/>
        <v>21.092023913954698</v>
      </c>
      <c r="P9" s="21">
        <f t="shared" si="1"/>
        <v>20.924471479738298</v>
      </c>
      <c r="Q9" s="42">
        <f t="shared" si="1"/>
        <v>20.762013968375673</v>
      </c>
      <c r="R9" s="21">
        <f t="shared" si="1"/>
        <v>20.604422471094253</v>
      </c>
      <c r="S9" s="42">
        <f t="shared" si="1"/>
        <v>20.45148158958064</v>
      </c>
    </row>
    <row r="10" spans="2:19" ht="12.75">
      <c r="B10" s="53">
        <v>0.04</v>
      </c>
      <c r="C10" s="42">
        <f t="shared" si="0"/>
        <v>30.12649856141108</v>
      </c>
      <c r="D10" s="21">
        <f t="shared" si="0"/>
        <v>29.749648809899877</v>
      </c>
      <c r="E10" s="42">
        <f t="shared" si="0"/>
        <v>29.38681555571902</v>
      </c>
      <c r="F10" s="21">
        <f t="shared" si="0"/>
        <v>29.037231084515874</v>
      </c>
      <c r="G10" s="42">
        <f t="shared" si="0"/>
        <v>28.700182742543312</v>
      </c>
      <c r="H10" s="21">
        <f t="shared" si="0"/>
        <v>28.37500808741185</v>
      </c>
      <c r="I10" s="42">
        <f t="shared" si="0"/>
        <v>28.06109054246511</v>
      </c>
      <c r="J10" s="21">
        <f t="shared" si="0"/>
        <v>27.7578554947952</v>
      </c>
      <c r="K10" s="42">
        <f t="shared" si="0"/>
        <v>27.464766784942963</v>
      </c>
      <c r="L10" s="21">
        <f t="shared" si="0"/>
        <v>27.18132354316711</v>
      </c>
      <c r="M10" s="42">
        <f t="shared" si="1"/>
        <v>26.907057333009508</v>
      </c>
      <c r="N10" s="21">
        <f t="shared" si="1"/>
        <v>26.64152956788845</v>
      </c>
      <c r="O10" s="42">
        <f t="shared" si="1"/>
        <v>26.384329170751073</v>
      </c>
      <c r="P10" s="21">
        <f t="shared" si="1"/>
        <v>26.135070450517276</v>
      </c>
      <c r="Q10" s="42">
        <f t="shared" si="1"/>
        <v>25.893391172242424</v>
      </c>
      <c r="R10" s="21">
        <f t="shared" si="1"/>
        <v>25.65895080069068</v>
      </c>
      <c r="S10" s="42">
        <f t="shared" si="1"/>
        <v>25.43142889940767</v>
      </c>
    </row>
    <row r="11" spans="2:19" ht="12.75">
      <c r="B11" s="53">
        <v>0.05</v>
      </c>
      <c r="C11" s="42">
        <f t="shared" si="0"/>
        <v>36.645476097805144</v>
      </c>
      <c r="D11" s="21">
        <f t="shared" si="0"/>
        <v>36.14509609004583</v>
      </c>
      <c r="E11" s="42">
        <f t="shared" si="0"/>
        <v>35.66332714681501</v>
      </c>
      <c r="F11" s="21">
        <f t="shared" si="0"/>
        <v>35.19914989922044</v>
      </c>
      <c r="G11" s="42">
        <f t="shared" si="0"/>
        <v>34.751618087682324</v>
      </c>
      <c r="H11" s="21">
        <f t="shared" si="0"/>
        <v>34.319852123116</v>
      </c>
      <c r="I11" s="42">
        <f t="shared" si="0"/>
        <v>33.90303331682427</v>
      </c>
      <c r="J11" s="21">
        <f t="shared" si="0"/>
        <v>33.50039869945354</v>
      </c>
      <c r="K11" s="42">
        <f t="shared" si="0"/>
        <v>33.11123636002801</v>
      </c>
      <c r="L11" s="21">
        <f t="shared" si="0"/>
        <v>32.734881245156956</v>
      </c>
      <c r="M11" s="42">
        <f t="shared" si="1"/>
        <v>32.37071136626904</v>
      </c>
      <c r="N11" s="21">
        <f t="shared" si="1"/>
        <v>32.01814436937229</v>
      </c>
      <c r="O11" s="42">
        <f t="shared" si="1"/>
        <v>31.67663442754744</v>
      </c>
      <c r="P11" s="21">
        <f t="shared" si="1"/>
        <v>31.34566942129625</v>
      </c>
      <c r="Q11" s="42">
        <f t="shared" si="1"/>
        <v>31.02476837610918</v>
      </c>
      <c r="R11" s="21">
        <f t="shared" si="1"/>
        <v>30.71347913028709</v>
      </c>
      <c r="S11" s="42">
        <f t="shared" si="1"/>
        <v>30.41137620923469</v>
      </c>
    </row>
    <row r="12" spans="2:19" ht="12.75">
      <c r="B12" s="53">
        <v>0.06</v>
      </c>
      <c r="C12" s="42">
        <f t="shared" si="0"/>
        <v>43.16445363419922</v>
      </c>
      <c r="D12" s="21">
        <f t="shared" si="0"/>
        <v>42.5405433701918</v>
      </c>
      <c r="E12" s="42">
        <f t="shared" si="0"/>
        <v>41.93983873791099</v>
      </c>
      <c r="F12" s="21">
        <f t="shared" si="0"/>
        <v>41.36106871392499</v>
      </c>
      <c r="G12" s="42">
        <f t="shared" si="0"/>
        <v>40.80305343282133</v>
      </c>
      <c r="H12" s="21">
        <f t="shared" si="0"/>
        <v>40.26469615882015</v>
      </c>
      <c r="I12" s="42">
        <f t="shared" si="0"/>
        <v>39.74497609118343</v>
      </c>
      <c r="J12" s="21">
        <f t="shared" si="0"/>
        <v>39.24294190411188</v>
      </c>
      <c r="K12" s="42">
        <f t="shared" si="0"/>
        <v>38.75770593511306</v>
      </c>
      <c r="L12" s="21">
        <f t="shared" si="0"/>
        <v>38.28843894714681</v>
      </c>
      <c r="M12" s="42">
        <f t="shared" si="1"/>
        <v>37.834365399528565</v>
      </c>
      <c r="N12" s="21">
        <f t="shared" si="1"/>
        <v>37.394759170856126</v>
      </c>
      <c r="O12" s="42">
        <f t="shared" si="1"/>
        <v>36.96893968434381</v>
      </c>
      <c r="P12" s="21">
        <f t="shared" si="1"/>
        <v>36.556268392075225</v>
      </c>
      <c r="Q12" s="42">
        <f t="shared" si="1"/>
        <v>36.15614557997593</v>
      </c>
      <c r="R12" s="21">
        <f t="shared" si="1"/>
        <v>35.7680074598835</v>
      </c>
      <c r="S12" s="42">
        <f t="shared" si="1"/>
        <v>35.391323519061714</v>
      </c>
    </row>
    <row r="13" spans="2:19" ht="12.75">
      <c r="B13" s="53">
        <v>0.07</v>
      </c>
      <c r="C13" s="42">
        <f t="shared" si="0"/>
        <v>49.68343117059331</v>
      </c>
      <c r="D13" s="21">
        <f t="shared" si="0"/>
        <v>48.935990650337764</v>
      </c>
      <c r="E13" s="42">
        <f t="shared" si="0"/>
        <v>48.216350329006985</v>
      </c>
      <c r="F13" s="21">
        <f t="shared" si="0"/>
        <v>47.522987528629564</v>
      </c>
      <c r="G13" s="42">
        <f t="shared" si="0"/>
        <v>46.85448877796035</v>
      </c>
      <c r="H13" s="21">
        <f t="shared" si="0"/>
        <v>46.20954019452431</v>
      </c>
      <c r="I13" s="42">
        <f t="shared" si="0"/>
        <v>45.5869188655426</v>
      </c>
      <c r="J13" s="21">
        <f t="shared" si="0"/>
        <v>44.98548510877025</v>
      </c>
      <c r="K13" s="42">
        <f t="shared" si="0"/>
        <v>44.404175510198115</v>
      </c>
      <c r="L13" s="21">
        <f t="shared" si="0"/>
        <v>43.84199664913667</v>
      </c>
      <c r="M13" s="42">
        <f t="shared" si="1"/>
        <v>43.298019432788095</v>
      </c>
      <c r="N13" s="21">
        <f t="shared" si="1"/>
        <v>42.77137397233998</v>
      </c>
      <c r="O13" s="42">
        <f t="shared" si="1"/>
        <v>42.26124494114019</v>
      </c>
      <c r="P13" s="21">
        <f t="shared" si="1"/>
        <v>41.76686736285421</v>
      </c>
      <c r="Q13" s="42">
        <f t="shared" si="1"/>
        <v>41.28752278384269</v>
      </c>
      <c r="R13" s="21">
        <f t="shared" si="1"/>
        <v>40.822535789479936</v>
      </c>
      <c r="S13" s="42">
        <f t="shared" si="1"/>
        <v>40.371270828888754</v>
      </c>
    </row>
    <row r="14" spans="2:19" ht="12.75">
      <c r="B14" s="53">
        <v>0.08</v>
      </c>
      <c r="C14" s="42">
        <f t="shared" si="0"/>
        <v>56.20240870698738</v>
      </c>
      <c r="D14" s="21">
        <f t="shared" si="0"/>
        <v>55.331437930483716</v>
      </c>
      <c r="E14" s="42">
        <f t="shared" si="0"/>
        <v>54.49286192010296</v>
      </c>
      <c r="F14" s="21">
        <f t="shared" si="0"/>
        <v>53.68490634333412</v>
      </c>
      <c r="G14" s="42">
        <f t="shared" si="0"/>
        <v>52.90592412309936</v>
      </c>
      <c r="H14" s="21">
        <f t="shared" si="0"/>
        <v>52.154384230228466</v>
      </c>
      <c r="I14" s="42">
        <f t="shared" si="0"/>
        <v>51.42886163990176</v>
      </c>
      <c r="J14" s="21">
        <f t="shared" si="0"/>
        <v>50.72802831342859</v>
      </c>
      <c r="K14" s="42">
        <f t="shared" si="0"/>
        <v>50.05064508528316</v>
      </c>
      <c r="L14" s="21">
        <f t="shared" si="0"/>
        <v>49.39555435112652</v>
      </c>
      <c r="M14" s="42">
        <f t="shared" si="1"/>
        <v>48.76167346604763</v>
      </c>
      <c r="N14" s="21">
        <f t="shared" si="1"/>
        <v>48.14798877382383</v>
      </c>
      <c r="O14" s="42">
        <f t="shared" si="1"/>
        <v>47.55355019793656</v>
      </c>
      <c r="P14" s="21">
        <f t="shared" si="1"/>
        <v>46.97746633363318</v>
      </c>
      <c r="Q14" s="42">
        <f t="shared" si="1"/>
        <v>46.41889998770943</v>
      </c>
      <c r="R14" s="21">
        <f t="shared" si="1"/>
        <v>45.877064119076344</v>
      </c>
      <c r="S14" s="42">
        <f t="shared" si="1"/>
        <v>45.351218138715765</v>
      </c>
    </row>
    <row r="15" spans="2:19" ht="12.75">
      <c r="B15" s="53">
        <v>0.09</v>
      </c>
      <c r="C15" s="42">
        <f t="shared" si="0"/>
        <v>62.721386243381446</v>
      </c>
      <c r="D15" s="21">
        <f t="shared" si="0"/>
        <v>61.72688521062968</v>
      </c>
      <c r="E15" s="42">
        <f t="shared" si="0"/>
        <v>60.76937351119893</v>
      </c>
      <c r="F15" s="21">
        <f t="shared" si="0"/>
        <v>59.846825158038676</v>
      </c>
      <c r="G15" s="42">
        <f t="shared" si="0"/>
        <v>58.95735946823836</v>
      </c>
      <c r="H15" s="21">
        <f t="shared" si="0"/>
        <v>58.09922826593261</v>
      </c>
      <c r="I15" s="42">
        <f t="shared" si="0"/>
        <v>57.27080441426092</v>
      </c>
      <c r="J15" s="21">
        <f t="shared" si="0"/>
        <v>56.47057151808694</v>
      </c>
      <c r="K15" s="42">
        <f t="shared" si="0"/>
        <v>55.69711466036821</v>
      </c>
      <c r="L15" s="21">
        <f t="shared" si="0"/>
        <v>54.949112053116366</v>
      </c>
      <c r="M15" s="42">
        <f t="shared" si="1"/>
        <v>54.225327499307156</v>
      </c>
      <c r="N15" s="21">
        <f t="shared" si="1"/>
        <v>53.524603575307665</v>
      </c>
      <c r="O15" s="42">
        <f t="shared" si="1"/>
        <v>52.84585545473292</v>
      </c>
      <c r="P15" s="21">
        <f t="shared" si="1"/>
        <v>52.188065304412156</v>
      </c>
      <c r="Q15" s="42">
        <f t="shared" si="1"/>
        <v>51.55027719157619</v>
      </c>
      <c r="R15" s="21">
        <f t="shared" si="1"/>
        <v>50.93159244867277</v>
      </c>
      <c r="S15" s="42">
        <f t="shared" si="1"/>
        <v>50.3311654485428</v>
      </c>
    </row>
    <row r="16" spans="2:19" ht="12.75">
      <c r="B16" s="53">
        <v>0.1</v>
      </c>
      <c r="C16" s="42">
        <f aca="true" t="shared" si="2" ref="C16:L22">((($C$41*$C$40*$B16*C$5/3.6)+(0.5*$C$31*$C$39*$C$32*((C$5*C$5)/(3.6*3.6)))+($C$41*$C$40*$C$42*C$5/3.6))/(C$27*C$28))/C$5</f>
        <v>69.24036377977552</v>
      </c>
      <c r="D16" s="21">
        <f t="shared" si="2"/>
        <v>68.12233249077563</v>
      </c>
      <c r="E16" s="42">
        <f t="shared" si="2"/>
        <v>67.04588510229492</v>
      </c>
      <c r="F16" s="21">
        <f t="shared" si="2"/>
        <v>66.00874397274325</v>
      </c>
      <c r="G16" s="42">
        <f t="shared" si="2"/>
        <v>65.00879481337736</v>
      </c>
      <c r="H16" s="21">
        <f t="shared" si="2"/>
        <v>64.04407230163677</v>
      </c>
      <c r="I16" s="42">
        <f t="shared" si="2"/>
        <v>63.11274718862009</v>
      </c>
      <c r="J16" s="21">
        <f t="shared" si="2"/>
        <v>62.21311472274529</v>
      </c>
      <c r="K16" s="42">
        <f t="shared" si="2"/>
        <v>61.34358423545326</v>
      </c>
      <c r="L16" s="21">
        <f t="shared" si="2"/>
        <v>60.50266975510622</v>
      </c>
      <c r="M16" s="42">
        <f aca="true" t="shared" si="3" ref="M16:S22">((($C$41*$C$40*$B16*M$5/3.6)+(0.5*$C$31*$C$39*$C$32*((M$5*M$5)/(3.6*3.6)))+($C$41*$C$40*$C$42*M$5/3.6))/(M$27*M$28))/M$5</f>
        <v>59.6889815325667</v>
      </c>
      <c r="N16" s="21">
        <f t="shared" si="3"/>
        <v>58.90121837679151</v>
      </c>
      <c r="O16" s="42">
        <f t="shared" si="3"/>
        <v>58.138160711529295</v>
      </c>
      <c r="P16" s="21">
        <f t="shared" si="3"/>
        <v>57.39866427519113</v>
      </c>
      <c r="Q16" s="42">
        <f t="shared" si="3"/>
        <v>56.68165439544294</v>
      </c>
      <c r="R16" s="21">
        <f t="shared" si="3"/>
        <v>55.986120778269175</v>
      </c>
      <c r="S16" s="42">
        <f t="shared" si="3"/>
        <v>55.31111275836983</v>
      </c>
    </row>
    <row r="17" spans="2:19" ht="12.75">
      <c r="B17" s="53">
        <v>0.11</v>
      </c>
      <c r="C17" s="42">
        <f t="shared" si="2"/>
        <v>75.75934131616961</v>
      </c>
      <c r="D17" s="21">
        <f t="shared" si="2"/>
        <v>74.51777977092159</v>
      </c>
      <c r="E17" s="42">
        <f t="shared" si="2"/>
        <v>73.3223966933909</v>
      </c>
      <c r="F17" s="21">
        <f t="shared" si="2"/>
        <v>72.17066278744781</v>
      </c>
      <c r="G17" s="42">
        <f t="shared" si="2"/>
        <v>71.06023015851639</v>
      </c>
      <c r="H17" s="21">
        <f t="shared" si="2"/>
        <v>69.98891633734092</v>
      </c>
      <c r="I17" s="42">
        <f t="shared" si="2"/>
        <v>68.95468996297924</v>
      </c>
      <c r="J17" s="21">
        <f t="shared" si="2"/>
        <v>67.95565792740365</v>
      </c>
      <c r="K17" s="42">
        <f t="shared" si="2"/>
        <v>66.99005381053831</v>
      </c>
      <c r="L17" s="21">
        <f t="shared" si="2"/>
        <v>66.05622745709609</v>
      </c>
      <c r="M17" s="42">
        <f t="shared" si="3"/>
        <v>65.15263556582622</v>
      </c>
      <c r="N17" s="21">
        <f t="shared" si="3"/>
        <v>64.27783317827534</v>
      </c>
      <c r="O17" s="42">
        <f t="shared" si="3"/>
        <v>63.43046596832566</v>
      </c>
      <c r="P17" s="21">
        <f t="shared" si="3"/>
        <v>62.60926324597012</v>
      </c>
      <c r="Q17" s="42">
        <f t="shared" si="3"/>
        <v>61.81303159930969</v>
      </c>
      <c r="R17" s="21">
        <f t="shared" si="3"/>
        <v>61.0406491078656</v>
      </c>
      <c r="S17" s="42">
        <f t="shared" si="3"/>
        <v>60.291060068196856</v>
      </c>
    </row>
    <row r="18" spans="2:19" ht="12.75">
      <c r="B18" s="53">
        <v>0.12</v>
      </c>
      <c r="C18" s="42">
        <f t="shared" si="2"/>
        <v>82.27831885256367</v>
      </c>
      <c r="D18" s="21">
        <f t="shared" si="2"/>
        <v>80.91322705106757</v>
      </c>
      <c r="E18" s="42">
        <f t="shared" si="2"/>
        <v>79.59890828448687</v>
      </c>
      <c r="F18" s="21">
        <f t="shared" si="2"/>
        <v>78.33258160215236</v>
      </c>
      <c r="G18" s="42">
        <f t="shared" si="2"/>
        <v>77.11166550365539</v>
      </c>
      <c r="H18" s="21">
        <f t="shared" si="2"/>
        <v>75.93376037304508</v>
      </c>
      <c r="I18" s="42">
        <f t="shared" si="2"/>
        <v>74.7966327373384</v>
      </c>
      <c r="J18" s="21">
        <f t="shared" si="2"/>
        <v>73.69820113206197</v>
      </c>
      <c r="K18" s="42">
        <f t="shared" si="2"/>
        <v>72.63652338562335</v>
      </c>
      <c r="L18" s="21">
        <f t="shared" si="2"/>
        <v>71.60978515908593</v>
      </c>
      <c r="M18" s="42">
        <f t="shared" si="3"/>
        <v>70.61628959908575</v>
      </c>
      <c r="N18" s="21">
        <f t="shared" si="3"/>
        <v>69.65444797975918</v>
      </c>
      <c r="O18" s="42">
        <f t="shared" si="3"/>
        <v>68.72277122512203</v>
      </c>
      <c r="P18" s="21">
        <f t="shared" si="3"/>
        <v>67.81986221674909</v>
      </c>
      <c r="Q18" s="42">
        <f t="shared" si="3"/>
        <v>66.94440880317644</v>
      </c>
      <c r="R18" s="21">
        <f t="shared" si="3"/>
        <v>66.09517743746201</v>
      </c>
      <c r="S18" s="42">
        <f t="shared" si="3"/>
        <v>65.27100737802388</v>
      </c>
    </row>
    <row r="19" spans="2:19" ht="12.75">
      <c r="B19" s="53">
        <v>0.13</v>
      </c>
      <c r="C19" s="42">
        <f t="shared" si="2"/>
        <v>88.79729638895775</v>
      </c>
      <c r="D19" s="21">
        <f t="shared" si="2"/>
        <v>87.30867433121354</v>
      </c>
      <c r="E19" s="42">
        <f t="shared" si="2"/>
        <v>85.87541987558288</v>
      </c>
      <c r="F19" s="21">
        <f t="shared" si="2"/>
        <v>84.49450041685692</v>
      </c>
      <c r="G19" s="42">
        <f t="shared" si="2"/>
        <v>83.16310084879443</v>
      </c>
      <c r="H19" s="21">
        <f t="shared" si="2"/>
        <v>81.87860440874923</v>
      </c>
      <c r="I19" s="42">
        <f t="shared" si="2"/>
        <v>80.63857551169758</v>
      </c>
      <c r="J19" s="21">
        <f t="shared" si="2"/>
        <v>79.44074433672034</v>
      </c>
      <c r="K19" s="42">
        <f t="shared" si="2"/>
        <v>78.28299296070843</v>
      </c>
      <c r="L19" s="21">
        <f t="shared" si="2"/>
        <v>77.16334286107578</v>
      </c>
      <c r="M19" s="42">
        <f t="shared" si="3"/>
        <v>76.07994363234528</v>
      </c>
      <c r="N19" s="21">
        <f t="shared" si="3"/>
        <v>75.03106278124304</v>
      </c>
      <c r="O19" s="42">
        <f t="shared" si="3"/>
        <v>74.0150764819184</v>
      </c>
      <c r="P19" s="21">
        <f t="shared" si="3"/>
        <v>73.03046118752808</v>
      </c>
      <c r="Q19" s="42">
        <f t="shared" si="3"/>
        <v>72.0757860070432</v>
      </c>
      <c r="R19" s="21">
        <f t="shared" si="3"/>
        <v>71.14970576705844</v>
      </c>
      <c r="S19" s="42">
        <f t="shared" si="3"/>
        <v>70.25095468785092</v>
      </c>
    </row>
    <row r="20" spans="2:19" ht="12.75">
      <c r="B20" s="53">
        <v>0.14</v>
      </c>
      <c r="C20" s="42">
        <f t="shared" si="2"/>
        <v>95.31627392535185</v>
      </c>
      <c r="D20" s="21">
        <f t="shared" si="2"/>
        <v>93.7041216113595</v>
      </c>
      <c r="E20" s="42">
        <f t="shared" si="2"/>
        <v>92.15193146667887</v>
      </c>
      <c r="F20" s="21">
        <f t="shared" si="2"/>
        <v>90.6564192315615</v>
      </c>
      <c r="G20" s="42">
        <f t="shared" si="2"/>
        <v>89.21453619393345</v>
      </c>
      <c r="H20" s="21">
        <f t="shared" si="2"/>
        <v>87.82344844445339</v>
      </c>
      <c r="I20" s="42">
        <f t="shared" si="2"/>
        <v>86.48051828605674</v>
      </c>
      <c r="J20" s="21">
        <f t="shared" si="2"/>
        <v>85.18328754137869</v>
      </c>
      <c r="K20" s="42">
        <f t="shared" si="2"/>
        <v>83.92946253579348</v>
      </c>
      <c r="L20" s="21">
        <f t="shared" si="2"/>
        <v>82.71690056306564</v>
      </c>
      <c r="M20" s="42">
        <f t="shared" si="3"/>
        <v>81.54359766560482</v>
      </c>
      <c r="N20" s="21">
        <f t="shared" si="3"/>
        <v>80.40767758272689</v>
      </c>
      <c r="O20" s="42">
        <f t="shared" si="3"/>
        <v>79.30738173871478</v>
      </c>
      <c r="P20" s="21">
        <f t="shared" si="3"/>
        <v>78.24106015830705</v>
      </c>
      <c r="Q20" s="42">
        <f t="shared" si="3"/>
        <v>77.20716321090995</v>
      </c>
      <c r="R20" s="21">
        <f t="shared" si="3"/>
        <v>76.20423409665487</v>
      </c>
      <c r="S20" s="42">
        <f t="shared" si="3"/>
        <v>75.23090199767795</v>
      </c>
    </row>
    <row r="21" spans="2:19" ht="12.75">
      <c r="B21" s="53">
        <v>0.15</v>
      </c>
      <c r="C21" s="42">
        <f t="shared" si="2"/>
        <v>101.83525146174593</v>
      </c>
      <c r="D21" s="21">
        <f t="shared" si="2"/>
        <v>100.09956889150546</v>
      </c>
      <c r="E21" s="42">
        <f t="shared" si="2"/>
        <v>98.42844305777483</v>
      </c>
      <c r="F21" s="21">
        <f t="shared" si="2"/>
        <v>96.81833804626605</v>
      </c>
      <c r="G21" s="42">
        <f t="shared" si="2"/>
        <v>95.26597153907247</v>
      </c>
      <c r="H21" s="21">
        <f t="shared" si="2"/>
        <v>93.76829248015753</v>
      </c>
      <c r="I21" s="42">
        <f t="shared" si="2"/>
        <v>92.3224610604159</v>
      </c>
      <c r="J21" s="21">
        <f t="shared" si="2"/>
        <v>90.92583074603702</v>
      </c>
      <c r="K21" s="42">
        <f t="shared" si="2"/>
        <v>89.57593211087851</v>
      </c>
      <c r="L21" s="21">
        <f t="shared" si="2"/>
        <v>88.27045826505548</v>
      </c>
      <c r="M21" s="42">
        <f t="shared" si="3"/>
        <v>87.00725169886432</v>
      </c>
      <c r="N21" s="21">
        <f t="shared" si="3"/>
        <v>85.78429238421072</v>
      </c>
      <c r="O21" s="42">
        <f t="shared" si="3"/>
        <v>84.59968699551116</v>
      </c>
      <c r="P21" s="21">
        <f t="shared" si="3"/>
        <v>83.45165912908604</v>
      </c>
      <c r="Q21" s="42">
        <f t="shared" si="3"/>
        <v>82.3385404147767</v>
      </c>
      <c r="R21" s="21">
        <f t="shared" si="3"/>
        <v>81.25876242625127</v>
      </c>
      <c r="S21" s="42">
        <f t="shared" si="3"/>
        <v>80.21084930750497</v>
      </c>
    </row>
    <row r="22" spans="2:19" ht="13.5" thickBot="1">
      <c r="B22" s="54">
        <v>0.16</v>
      </c>
      <c r="C22" s="43">
        <f t="shared" si="2"/>
        <v>108.35422899814</v>
      </c>
      <c r="D22" s="46">
        <f t="shared" si="2"/>
        <v>106.4950161716514</v>
      </c>
      <c r="E22" s="43">
        <f t="shared" si="2"/>
        <v>104.70495464887081</v>
      </c>
      <c r="F22" s="46">
        <f t="shared" si="2"/>
        <v>102.98025686097058</v>
      </c>
      <c r="G22" s="43">
        <f t="shared" si="2"/>
        <v>101.31740688421147</v>
      </c>
      <c r="H22" s="46">
        <f t="shared" si="2"/>
        <v>99.71313651586168</v>
      </c>
      <c r="I22" s="43">
        <f t="shared" si="2"/>
        <v>98.16440383477506</v>
      </c>
      <c r="J22" s="46">
        <f t="shared" si="2"/>
        <v>96.66837395069537</v>
      </c>
      <c r="K22" s="43">
        <f t="shared" si="2"/>
        <v>95.22240168596356</v>
      </c>
      <c r="L22" s="46">
        <f t="shared" si="2"/>
        <v>93.82401596704534</v>
      </c>
      <c r="M22" s="43">
        <f t="shared" si="3"/>
        <v>92.47090573212385</v>
      </c>
      <c r="N22" s="46">
        <f t="shared" si="3"/>
        <v>91.16090718569457</v>
      </c>
      <c r="O22" s="43">
        <f t="shared" si="3"/>
        <v>89.89199225230752</v>
      </c>
      <c r="P22" s="46">
        <f t="shared" si="3"/>
        <v>88.662258099865</v>
      </c>
      <c r="Q22" s="43">
        <f t="shared" si="3"/>
        <v>87.46991761864345</v>
      </c>
      <c r="R22" s="46">
        <f t="shared" si="3"/>
        <v>86.31329075584769</v>
      </c>
      <c r="S22" s="43">
        <f t="shared" si="3"/>
        <v>85.19079661733198</v>
      </c>
    </row>
    <row r="27" spans="2:19" ht="12.75">
      <c r="B27" s="38" t="s">
        <v>71</v>
      </c>
      <c r="C27" s="11">
        <v>0.6502383027436538</v>
      </c>
      <c r="D27" s="11">
        <v>0.6627978784295673</v>
      </c>
      <c r="E27" s="11">
        <v>0.6753574541154808</v>
      </c>
      <c r="F27" s="11">
        <v>0.6879170298013941</v>
      </c>
      <c r="G27" s="11">
        <v>0.7004766054873076</v>
      </c>
      <c r="H27" s="11">
        <v>0.7130361811732211</v>
      </c>
      <c r="I27" s="11">
        <v>0.7255957568591346</v>
      </c>
      <c r="J27" s="11">
        <v>0.7381553325450481</v>
      </c>
      <c r="K27" s="11">
        <v>0.7507149082309614</v>
      </c>
      <c r="L27" s="11">
        <v>0.7632744839168749</v>
      </c>
      <c r="M27" s="11">
        <v>0.7758340596027884</v>
      </c>
      <c r="N27" s="11">
        <v>0.7883936352887019</v>
      </c>
      <c r="O27" s="11">
        <v>0.8009532109746154</v>
      </c>
      <c r="P27" s="11">
        <v>0.8135127866605287</v>
      </c>
      <c r="Q27" s="11">
        <v>0.8260723623464422</v>
      </c>
      <c r="R27" s="11">
        <v>0.8386319380323557</v>
      </c>
      <c r="S27" s="39">
        <v>0.8511915137182692</v>
      </c>
    </row>
    <row r="28" spans="2:19" ht="12.75">
      <c r="B28" s="38" t="s">
        <v>72</v>
      </c>
      <c r="C28" s="11">
        <v>0.9</v>
      </c>
      <c r="D28" s="11">
        <v>0.9</v>
      </c>
      <c r="E28" s="11">
        <v>0.9</v>
      </c>
      <c r="F28" s="11">
        <v>0.9</v>
      </c>
      <c r="G28" s="11">
        <v>0.9</v>
      </c>
      <c r="H28" s="11">
        <v>0.9</v>
      </c>
      <c r="I28" s="11">
        <v>0.9</v>
      </c>
      <c r="J28" s="11">
        <v>0.9</v>
      </c>
      <c r="K28" s="11">
        <v>0.9</v>
      </c>
      <c r="L28" s="11">
        <v>0.9</v>
      </c>
      <c r="M28" s="11">
        <v>0.9</v>
      </c>
      <c r="N28" s="11">
        <v>0.9</v>
      </c>
      <c r="O28" s="11">
        <v>0.9</v>
      </c>
      <c r="P28" s="11">
        <v>0.9</v>
      </c>
      <c r="Q28" s="11">
        <v>0.9</v>
      </c>
      <c r="R28" s="11">
        <v>0.9</v>
      </c>
      <c r="S28" s="39">
        <v>0.9</v>
      </c>
    </row>
    <row r="29" spans="2:3" ht="12.75">
      <c r="B29" s="2"/>
      <c r="C29" s="1" t="s">
        <v>1</v>
      </c>
    </row>
    <row r="30" ht="12.75">
      <c r="B30" s="2"/>
    </row>
    <row r="31" spans="2:3" ht="12.75">
      <c r="B31" s="2" t="s">
        <v>2</v>
      </c>
      <c r="C31" s="1">
        <v>1.2</v>
      </c>
    </row>
    <row r="32" spans="2:3" ht="12.75">
      <c r="B32" s="2" t="s">
        <v>3</v>
      </c>
      <c r="C32" s="1">
        <v>0.5</v>
      </c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spans="2:3" ht="12.75">
      <c r="B37" s="83" t="s">
        <v>4</v>
      </c>
      <c r="C37" s="1">
        <v>3200</v>
      </c>
    </row>
    <row r="38" spans="1:3" ht="12.75">
      <c r="A38" s="84" t="s">
        <v>5</v>
      </c>
      <c r="B38" s="84"/>
      <c r="C38" s="1">
        <v>400</v>
      </c>
    </row>
    <row r="39" spans="1:3" ht="12.75">
      <c r="A39" s="84" t="s">
        <v>6</v>
      </c>
      <c r="B39" s="84"/>
      <c r="C39" s="1">
        <v>2</v>
      </c>
    </row>
    <row r="40" spans="2:3" ht="12.75">
      <c r="B40" s="83" t="s">
        <v>7</v>
      </c>
      <c r="C40" s="1">
        <v>140</v>
      </c>
    </row>
    <row r="41" spans="2:3" ht="12.75">
      <c r="B41" s="83" t="s">
        <v>8</v>
      </c>
      <c r="C41" s="1">
        <v>9.81</v>
      </c>
    </row>
    <row r="42" spans="2:3" ht="12.75">
      <c r="B42" s="83" t="s">
        <v>9</v>
      </c>
      <c r="C42" s="1">
        <v>0.005</v>
      </c>
    </row>
    <row r="43" ht="12.75">
      <c r="B43" s="83"/>
    </row>
    <row r="44" ht="12.75">
      <c r="B44" s="83"/>
    </row>
    <row r="45" spans="2:3" ht="12.75">
      <c r="B45" s="83" t="s">
        <v>10</v>
      </c>
      <c r="C45" s="1">
        <v>0.33</v>
      </c>
    </row>
    <row r="46" ht="12.75">
      <c r="B46" s="83"/>
    </row>
    <row r="47" spans="1:3" ht="12.75">
      <c r="A47" s="84" t="s">
        <v>23</v>
      </c>
      <c r="B47" s="84"/>
      <c r="C47" s="1">
        <f>C37</f>
        <v>3200</v>
      </c>
    </row>
    <row r="48" spans="2:3" ht="12.75">
      <c r="B48" s="83" t="s">
        <v>24</v>
      </c>
      <c r="C48" s="1">
        <f>C47/60</f>
        <v>53.333333333333336</v>
      </c>
    </row>
    <row r="49" spans="2:3" ht="12.75">
      <c r="B49" s="83" t="s">
        <v>25</v>
      </c>
      <c r="C49" s="1">
        <f>C48/60</f>
        <v>0.888888888888889</v>
      </c>
    </row>
    <row r="50" ht="12.75">
      <c r="B50" s="83"/>
    </row>
    <row r="51" spans="1:3" ht="12.75">
      <c r="A51" s="84" t="s">
        <v>31</v>
      </c>
      <c r="B51" s="84"/>
      <c r="C51" s="1">
        <v>0.85</v>
      </c>
    </row>
    <row r="52" ht="12.75">
      <c r="B52" s="83"/>
    </row>
    <row r="53" ht="12.75">
      <c r="B53" s="83"/>
    </row>
    <row r="54" spans="1:3" ht="12.75">
      <c r="A54" s="84" t="s">
        <v>32</v>
      </c>
      <c r="B54" s="84"/>
      <c r="C54" s="1">
        <v>0.8</v>
      </c>
    </row>
    <row r="55" spans="1:4" ht="12.75">
      <c r="A55" s="84" t="s">
        <v>33</v>
      </c>
      <c r="B55" s="84"/>
      <c r="C55" s="1">
        <v>0.9</v>
      </c>
      <c r="D55" s="1">
        <f>C51*C55</f>
        <v>0.765</v>
      </c>
    </row>
    <row r="56" spans="2:3" ht="12.75">
      <c r="B56" s="83" t="s">
        <v>34</v>
      </c>
      <c r="C56" s="1">
        <f>C51*C54*C55</f>
        <v>0.6120000000000001</v>
      </c>
    </row>
    <row r="57" ht="12.75">
      <c r="B57" s="83"/>
    </row>
    <row r="58" spans="2:3" ht="12.75">
      <c r="B58" s="83" t="s">
        <v>35</v>
      </c>
      <c r="C58" s="1">
        <v>20</v>
      </c>
    </row>
    <row r="59" spans="2:3" ht="12.75">
      <c r="B59" s="83" t="s">
        <v>36</v>
      </c>
      <c r="C59" s="1">
        <v>48</v>
      </c>
    </row>
    <row r="60" spans="2:3" ht="12.75">
      <c r="B60" s="83" t="s">
        <v>37</v>
      </c>
      <c r="C60" s="1">
        <f>2*C59*C58</f>
        <v>1920</v>
      </c>
    </row>
  </sheetData>
  <mergeCells count="6">
    <mergeCell ref="A38:B38"/>
    <mergeCell ref="A39:B39"/>
    <mergeCell ref="A47:B47"/>
    <mergeCell ref="A55:B55"/>
    <mergeCell ref="A54:B54"/>
    <mergeCell ref="A51:B5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B1">
      <selection activeCell="J3" sqref="J3"/>
    </sheetView>
  </sheetViews>
  <sheetFormatPr defaultColWidth="11.421875" defaultRowHeight="12.75"/>
  <cols>
    <col min="1" max="1" width="12.28125" style="1" customWidth="1"/>
    <col min="2" max="2" width="11.421875" style="1" customWidth="1"/>
    <col min="3" max="3" width="9.140625" style="1" bestFit="1" customWidth="1"/>
    <col min="4" max="19" width="7.140625" style="1" bestFit="1" customWidth="1"/>
    <col min="20" max="21" width="5.57421875" style="1" customWidth="1"/>
    <col min="22" max="16384" width="11.421875" style="1" customWidth="1"/>
  </cols>
  <sheetData>
    <row r="1" spans="1:2" ht="12.75">
      <c r="A1" s="1" t="s">
        <v>67</v>
      </c>
      <c r="B1" s="1" t="s">
        <v>68</v>
      </c>
    </row>
    <row r="2" ht="12.75">
      <c r="A2" s="1" t="s">
        <v>69</v>
      </c>
    </row>
    <row r="4" ht="13.5" thickBot="1"/>
    <row r="5" spans="2:19" ht="12.75">
      <c r="B5" s="52" t="s">
        <v>19</v>
      </c>
      <c r="C5" s="44">
        <f>10</f>
        <v>10</v>
      </c>
      <c r="D5" s="40">
        <v>12.5</v>
      </c>
      <c r="E5" s="44">
        <v>15</v>
      </c>
      <c r="F5" s="40">
        <v>17.5</v>
      </c>
      <c r="G5" s="44">
        <v>20</v>
      </c>
      <c r="H5" s="40">
        <v>22.5</v>
      </c>
      <c r="I5" s="44">
        <v>25</v>
      </c>
      <c r="J5" s="40">
        <v>27.5</v>
      </c>
      <c r="K5" s="44">
        <v>30</v>
      </c>
      <c r="L5" s="40">
        <v>32.5</v>
      </c>
      <c r="M5" s="44">
        <v>35</v>
      </c>
      <c r="N5" s="40">
        <v>37.5</v>
      </c>
      <c r="O5" s="44">
        <v>40</v>
      </c>
      <c r="P5" s="40">
        <v>42.5</v>
      </c>
      <c r="Q5" s="44">
        <v>45</v>
      </c>
      <c r="R5" s="40">
        <v>47.5</v>
      </c>
      <c r="S5" s="47">
        <v>50</v>
      </c>
    </row>
    <row r="6" spans="1:19" ht="12.75">
      <c r="A6" s="1" t="s">
        <v>70</v>
      </c>
      <c r="B6" s="56">
        <v>0.01</v>
      </c>
      <c r="C6" s="21">
        <f aca="true" t="shared" si="0" ref="C6:L15">(((-$C$40*$C$39*$B6*C$5/3.6)+(0.5*$C$30*$C$38*$C$31*((C$5*C$5)/(3.6*3.6)))+($C$40*$C$39*$C$41*C$5/3.6))*(C$26*C$27))/C$5</f>
        <v>-0.845363980091979</v>
      </c>
      <c r="D6" s="42">
        <f t="shared" si="0"/>
        <v>-0.7926510294452265</v>
      </c>
      <c r="E6" s="21">
        <f t="shared" si="0"/>
        <v>-0.7373215005305763</v>
      </c>
      <c r="F6" s="42">
        <f t="shared" si="0"/>
        <v>-0.6793753933480269</v>
      </c>
      <c r="G6" s="21">
        <f t="shared" si="0"/>
        <v>-0.6188127078975791</v>
      </c>
      <c r="H6" s="42">
        <f t="shared" si="0"/>
        <v>-0.5556334441792327</v>
      </c>
      <c r="I6" s="21">
        <f t="shared" si="0"/>
        <v>-0.48983760219298766</v>
      </c>
      <c r="J6" s="42">
        <f t="shared" si="0"/>
        <v>-0.4214251819388441</v>
      </c>
      <c r="K6" s="21">
        <f t="shared" si="0"/>
        <v>-0.3503961834168011</v>
      </c>
      <c r="L6" s="42">
        <f t="shared" si="0"/>
        <v>-0.2767506066268604</v>
      </c>
      <c r="M6" s="21">
        <f aca="true" t="shared" si="1" ref="M6:S15">(((-$C$40*$C$39*$B6*M$5/3.6)+(0.5*$C$30*$C$38*$C$31*((M$5*M$5)/(3.6*3.6)))+($C$40*$C$39*$C$41*M$5/3.6))*(M$26*M$27))/M$5</f>
        <v>-0.20048845156902065</v>
      </c>
      <c r="N6" s="42">
        <f t="shared" si="1"/>
        <v>-0.12160971824328272</v>
      </c>
      <c r="O6" s="21">
        <f t="shared" si="1"/>
        <v>-0.04011440664964574</v>
      </c>
      <c r="P6" s="42">
        <f t="shared" si="1"/>
        <v>0.04399748321188996</v>
      </c>
      <c r="Q6" s="21">
        <f t="shared" si="1"/>
        <v>0.1307259513413244</v>
      </c>
      <c r="R6" s="41">
        <f t="shared" si="1"/>
        <v>0.22007099773865707</v>
      </c>
      <c r="S6" s="49">
        <f t="shared" si="1"/>
        <v>0.3120326224038885</v>
      </c>
    </row>
    <row r="7" spans="2:19" ht="12.75">
      <c r="B7" s="56">
        <v>0.02</v>
      </c>
      <c r="C7" s="21">
        <f t="shared" si="0"/>
        <v>-3.0779571925623146</v>
      </c>
      <c r="D7" s="42">
        <f t="shared" si="0"/>
        <v>-3.0683675450331465</v>
      </c>
      <c r="E7" s="21">
        <f t="shared" si="0"/>
        <v>-3.0561613192360797</v>
      </c>
      <c r="F7" s="42">
        <f t="shared" si="0"/>
        <v>-3.0413385151711143</v>
      </c>
      <c r="G7" s="21">
        <f t="shared" si="0"/>
        <v>-3.0238991328382503</v>
      </c>
      <c r="H7" s="42">
        <f t="shared" si="0"/>
        <v>-3.003843172237487</v>
      </c>
      <c r="I7" s="21">
        <f t="shared" si="0"/>
        <v>-2.981170633368826</v>
      </c>
      <c r="J7" s="42">
        <f t="shared" si="0"/>
        <v>-2.955881516232267</v>
      </c>
      <c r="K7" s="21">
        <f t="shared" si="0"/>
        <v>-2.927975820827808</v>
      </c>
      <c r="L7" s="42">
        <f t="shared" si="0"/>
        <v>-2.8974535471554503</v>
      </c>
      <c r="M7" s="21">
        <f t="shared" si="1"/>
        <v>-2.8643146952151946</v>
      </c>
      <c r="N7" s="42">
        <f t="shared" si="1"/>
        <v>-2.8285592650070406</v>
      </c>
      <c r="O7" s="21">
        <f t="shared" si="1"/>
        <v>-2.7901872565309875</v>
      </c>
      <c r="P7" s="42">
        <f t="shared" si="1"/>
        <v>-2.749198669787036</v>
      </c>
      <c r="Q7" s="21">
        <f t="shared" si="1"/>
        <v>-2.705593504775185</v>
      </c>
      <c r="R7" s="41">
        <f t="shared" si="1"/>
        <v>-2.659371761495436</v>
      </c>
      <c r="S7" s="49">
        <f t="shared" si="1"/>
        <v>-2.610533439947789</v>
      </c>
    </row>
    <row r="8" spans="2:19" ht="12.75">
      <c r="B8" s="56">
        <v>0.03</v>
      </c>
      <c r="C8" s="21">
        <f t="shared" si="0"/>
        <v>-5.310550405032648</v>
      </c>
      <c r="D8" s="42">
        <f t="shared" si="0"/>
        <v>-5.344084060621064</v>
      </c>
      <c r="E8" s="21">
        <f t="shared" si="0"/>
        <v>-5.375001137941582</v>
      </c>
      <c r="F8" s="42">
        <f t="shared" si="0"/>
        <v>-5.403301636994201</v>
      </c>
      <c r="G8" s="21">
        <f t="shared" si="0"/>
        <v>-5.42898555777892</v>
      </c>
      <c r="H8" s="42">
        <f t="shared" si="0"/>
        <v>-5.452052900295741</v>
      </c>
      <c r="I8" s="21">
        <f t="shared" si="0"/>
        <v>-5.472503664544665</v>
      </c>
      <c r="J8" s="42">
        <f t="shared" si="0"/>
        <v>-5.490337850525688</v>
      </c>
      <c r="K8" s="21">
        <f t="shared" si="0"/>
        <v>-5.505555458238812</v>
      </c>
      <c r="L8" s="42">
        <f t="shared" si="0"/>
        <v>-5.518156487684041</v>
      </c>
      <c r="M8" s="21">
        <f t="shared" si="1"/>
        <v>-5.52814093886137</v>
      </c>
      <c r="N8" s="42">
        <f t="shared" si="1"/>
        <v>-5.5355088117707965</v>
      </c>
      <c r="O8" s="21">
        <f t="shared" si="1"/>
        <v>-5.540260106412328</v>
      </c>
      <c r="P8" s="42">
        <f t="shared" si="1"/>
        <v>-5.542394822785961</v>
      </c>
      <c r="Q8" s="21">
        <f t="shared" si="1"/>
        <v>-5.541912960891694</v>
      </c>
      <c r="R8" s="41">
        <f t="shared" si="1"/>
        <v>-5.538814520729527</v>
      </c>
      <c r="S8" s="49">
        <f t="shared" si="1"/>
        <v>-5.533099502299466</v>
      </c>
    </row>
    <row r="9" spans="2:19" ht="12.75">
      <c r="B9" s="56">
        <v>0.04</v>
      </c>
      <c r="C9" s="21">
        <f t="shared" si="0"/>
        <v>-7.543143617502987</v>
      </c>
      <c r="D9" s="42">
        <f t="shared" si="0"/>
        <v>-7.619800576208984</v>
      </c>
      <c r="E9" s="21">
        <f t="shared" si="0"/>
        <v>-7.693840956647086</v>
      </c>
      <c r="F9" s="42">
        <f t="shared" si="0"/>
        <v>-7.765264758817289</v>
      </c>
      <c r="G9" s="21">
        <f t="shared" si="0"/>
        <v>-7.834071982719591</v>
      </c>
      <c r="H9" s="42">
        <f t="shared" si="0"/>
        <v>-7.900262628353998</v>
      </c>
      <c r="I9" s="21">
        <f t="shared" si="0"/>
        <v>-7.963836695720504</v>
      </c>
      <c r="J9" s="42">
        <f t="shared" si="0"/>
        <v>-8.024794184819113</v>
      </c>
      <c r="K9" s="21">
        <f t="shared" si="0"/>
        <v>-8.08313509564982</v>
      </c>
      <c r="L9" s="42">
        <f t="shared" si="0"/>
        <v>-8.138859428212632</v>
      </c>
      <c r="M9" s="21">
        <f t="shared" si="1"/>
        <v>-8.191967182507545</v>
      </c>
      <c r="N9" s="42">
        <f t="shared" si="1"/>
        <v>-8.24245835853456</v>
      </c>
      <c r="O9" s="21">
        <f t="shared" si="1"/>
        <v>-8.290332956293673</v>
      </c>
      <c r="P9" s="42">
        <f t="shared" si="1"/>
        <v>-8.335590975784886</v>
      </c>
      <c r="Q9" s="21">
        <f t="shared" si="1"/>
        <v>-8.378232417008206</v>
      </c>
      <c r="R9" s="41">
        <f t="shared" si="1"/>
        <v>-8.418257279963624</v>
      </c>
      <c r="S9" s="49">
        <f t="shared" si="1"/>
        <v>-8.455665564651142</v>
      </c>
    </row>
    <row r="10" spans="2:19" ht="12.75">
      <c r="B10" s="56">
        <v>0.05</v>
      </c>
      <c r="C10" s="21">
        <f t="shared" si="0"/>
        <v>-9.775736829973322</v>
      </c>
      <c r="D10" s="42">
        <f t="shared" si="0"/>
        <v>-9.895517091796902</v>
      </c>
      <c r="E10" s="21">
        <f t="shared" si="0"/>
        <v>-10.012680775352587</v>
      </c>
      <c r="F10" s="42">
        <f t="shared" si="0"/>
        <v>-10.127227880640374</v>
      </c>
      <c r="G10" s="21">
        <f t="shared" si="0"/>
        <v>-10.239158407660259</v>
      </c>
      <c r="H10" s="42">
        <f t="shared" si="0"/>
        <v>-10.348472356412252</v>
      </c>
      <c r="I10" s="21">
        <f t="shared" si="0"/>
        <v>-10.455169726896342</v>
      </c>
      <c r="J10" s="42">
        <f t="shared" si="0"/>
        <v>-10.559250519112535</v>
      </c>
      <c r="K10" s="21">
        <f t="shared" si="0"/>
        <v>-10.660714733060825</v>
      </c>
      <c r="L10" s="42">
        <f t="shared" si="0"/>
        <v>-10.759562368741223</v>
      </c>
      <c r="M10" s="21">
        <f t="shared" si="1"/>
        <v>-10.855793426153719</v>
      </c>
      <c r="N10" s="42">
        <f t="shared" si="1"/>
        <v>-10.949407905298314</v>
      </c>
      <c r="O10" s="21">
        <f t="shared" si="1"/>
        <v>-11.040405806175013</v>
      </c>
      <c r="P10" s="42">
        <f t="shared" si="1"/>
        <v>-11.128787128783811</v>
      </c>
      <c r="Q10" s="21">
        <f t="shared" si="1"/>
        <v>-11.214551873124714</v>
      </c>
      <c r="R10" s="41">
        <f t="shared" si="1"/>
        <v>-11.297700039197714</v>
      </c>
      <c r="S10" s="49">
        <f t="shared" si="1"/>
        <v>-11.378231627002819</v>
      </c>
    </row>
    <row r="11" spans="2:19" ht="12.75">
      <c r="B11" s="56">
        <v>0.06</v>
      </c>
      <c r="C11" s="21">
        <f t="shared" si="0"/>
        <v>-12.008330042443657</v>
      </c>
      <c r="D11" s="42">
        <f t="shared" si="0"/>
        <v>-12.171233607384822</v>
      </c>
      <c r="E11" s="21">
        <f t="shared" si="0"/>
        <v>-12.33152059405809</v>
      </c>
      <c r="F11" s="42">
        <f t="shared" si="0"/>
        <v>-12.489191002463459</v>
      </c>
      <c r="G11" s="21">
        <f t="shared" si="0"/>
        <v>-12.64424483260093</v>
      </c>
      <c r="H11" s="42">
        <f t="shared" si="0"/>
        <v>-12.796682084470506</v>
      </c>
      <c r="I11" s="21">
        <f t="shared" si="0"/>
        <v>-12.946502758072178</v>
      </c>
      <c r="J11" s="42">
        <f t="shared" si="0"/>
        <v>-13.093706853405958</v>
      </c>
      <c r="K11" s="21">
        <f t="shared" si="0"/>
        <v>-13.23829437047183</v>
      </c>
      <c r="L11" s="42">
        <f t="shared" si="0"/>
        <v>-13.380265309269813</v>
      </c>
      <c r="M11" s="21">
        <f t="shared" si="1"/>
        <v>-13.51961966979989</v>
      </c>
      <c r="N11" s="42">
        <f t="shared" si="1"/>
        <v>-13.65635745206207</v>
      </c>
      <c r="O11" s="21">
        <f t="shared" si="1"/>
        <v>-13.790478656056354</v>
      </c>
      <c r="P11" s="42">
        <f t="shared" si="1"/>
        <v>-13.921983281782738</v>
      </c>
      <c r="Q11" s="21">
        <f t="shared" si="1"/>
        <v>-14.050871329241222</v>
      </c>
      <c r="R11" s="41">
        <f t="shared" si="1"/>
        <v>-14.177142798431808</v>
      </c>
      <c r="S11" s="49">
        <f t="shared" si="1"/>
        <v>-14.3007976893545</v>
      </c>
    </row>
    <row r="12" spans="2:19" ht="12.75">
      <c r="B12" s="56">
        <v>0.07</v>
      </c>
      <c r="C12" s="21">
        <f t="shared" si="0"/>
        <v>-14.240923254913998</v>
      </c>
      <c r="D12" s="42">
        <f t="shared" si="0"/>
        <v>-14.446950122972744</v>
      </c>
      <c r="E12" s="21">
        <f t="shared" si="0"/>
        <v>-14.650360412763598</v>
      </c>
      <c r="F12" s="42">
        <f t="shared" si="0"/>
        <v>-14.85115412428655</v>
      </c>
      <c r="G12" s="21">
        <f t="shared" si="0"/>
        <v>-15.04933125754161</v>
      </c>
      <c r="H12" s="42">
        <f t="shared" si="0"/>
        <v>-15.244891812528762</v>
      </c>
      <c r="I12" s="21">
        <f t="shared" si="0"/>
        <v>-15.437835789248021</v>
      </c>
      <c r="J12" s="42">
        <f t="shared" si="0"/>
        <v>-15.628163187699387</v>
      </c>
      <c r="K12" s="21">
        <f t="shared" si="0"/>
        <v>-15.815874007882844</v>
      </c>
      <c r="L12" s="42">
        <f t="shared" si="0"/>
        <v>-16.000968249798404</v>
      </c>
      <c r="M12" s="21">
        <f t="shared" si="1"/>
        <v>-16.183445913446068</v>
      </c>
      <c r="N12" s="42">
        <f t="shared" si="1"/>
        <v>-16.36330699882583</v>
      </c>
      <c r="O12" s="21">
        <f t="shared" si="1"/>
        <v>-16.540551505937703</v>
      </c>
      <c r="P12" s="42">
        <f t="shared" si="1"/>
        <v>-16.715179434781664</v>
      </c>
      <c r="Q12" s="21">
        <f t="shared" si="1"/>
        <v>-16.88719078535774</v>
      </c>
      <c r="R12" s="41">
        <f t="shared" si="1"/>
        <v>-17.05658555766591</v>
      </c>
      <c r="S12" s="49">
        <f t="shared" si="1"/>
        <v>-17.223363751706177</v>
      </c>
    </row>
    <row r="13" spans="2:19" ht="12.75">
      <c r="B13" s="56">
        <v>0.08</v>
      </c>
      <c r="C13" s="21">
        <f t="shared" si="0"/>
        <v>-16.473516467384332</v>
      </c>
      <c r="D13" s="42">
        <f t="shared" si="0"/>
        <v>-16.72266663856066</v>
      </c>
      <c r="E13" s="21">
        <f t="shared" si="0"/>
        <v>-16.9692002314691</v>
      </c>
      <c r="F13" s="42">
        <f t="shared" si="0"/>
        <v>-17.213117246109636</v>
      </c>
      <c r="G13" s="21">
        <f t="shared" si="0"/>
        <v>-17.45441768248228</v>
      </c>
      <c r="H13" s="42">
        <f t="shared" si="0"/>
        <v>-17.693101540587016</v>
      </c>
      <c r="I13" s="21">
        <f t="shared" si="0"/>
        <v>-17.929168820423858</v>
      </c>
      <c r="J13" s="42">
        <f t="shared" si="0"/>
        <v>-18.162619521992806</v>
      </c>
      <c r="K13" s="21">
        <f t="shared" si="0"/>
        <v>-18.393453645293842</v>
      </c>
      <c r="L13" s="42">
        <f t="shared" si="0"/>
        <v>-18.621671190326992</v>
      </c>
      <c r="M13" s="21">
        <f t="shared" si="1"/>
        <v>-18.847272157092238</v>
      </c>
      <c r="N13" s="42">
        <f t="shared" si="1"/>
        <v>-19.070256545589586</v>
      </c>
      <c r="O13" s="21">
        <f t="shared" si="1"/>
        <v>-19.29062435581904</v>
      </c>
      <c r="P13" s="42">
        <f t="shared" si="1"/>
        <v>-19.50837558778059</v>
      </c>
      <c r="Q13" s="21">
        <f t="shared" si="1"/>
        <v>-19.72351024147424</v>
      </c>
      <c r="R13" s="41">
        <f t="shared" si="1"/>
        <v>-19.9360283169</v>
      </c>
      <c r="S13" s="49">
        <f t="shared" si="1"/>
        <v>-20.145929814057855</v>
      </c>
    </row>
    <row r="14" spans="2:19" ht="12.75">
      <c r="B14" s="56">
        <v>0.09</v>
      </c>
      <c r="C14" s="21">
        <f t="shared" si="0"/>
        <v>-18.706109679854666</v>
      </c>
      <c r="D14" s="42">
        <f t="shared" si="0"/>
        <v>-18.99838315414858</v>
      </c>
      <c r="E14" s="21">
        <f t="shared" si="0"/>
        <v>-19.288040050174597</v>
      </c>
      <c r="F14" s="42">
        <f t="shared" si="0"/>
        <v>-19.57508036793272</v>
      </c>
      <c r="G14" s="21">
        <f t="shared" si="0"/>
        <v>-19.859504107422946</v>
      </c>
      <c r="H14" s="42">
        <f t="shared" si="0"/>
        <v>-20.141311268645268</v>
      </c>
      <c r="I14" s="21">
        <f t="shared" si="0"/>
        <v>-20.420501851599695</v>
      </c>
      <c r="J14" s="42">
        <f t="shared" si="0"/>
        <v>-20.69707585628623</v>
      </c>
      <c r="K14" s="21">
        <f t="shared" si="0"/>
        <v>-20.97103328270485</v>
      </c>
      <c r="L14" s="42">
        <f t="shared" si="0"/>
        <v>-21.24237413085558</v>
      </c>
      <c r="M14" s="21">
        <f t="shared" si="1"/>
        <v>-21.511098400738412</v>
      </c>
      <c r="N14" s="42">
        <f t="shared" si="1"/>
        <v>-21.777206092353342</v>
      </c>
      <c r="O14" s="21">
        <f t="shared" si="1"/>
        <v>-22.040697205700383</v>
      </c>
      <c r="P14" s="42">
        <f t="shared" si="1"/>
        <v>-22.301571740779515</v>
      </c>
      <c r="Q14" s="21">
        <f t="shared" si="1"/>
        <v>-22.55982969759075</v>
      </c>
      <c r="R14" s="41">
        <f t="shared" si="1"/>
        <v>-22.81547107613409</v>
      </c>
      <c r="S14" s="49">
        <f t="shared" si="1"/>
        <v>-23.06849587640953</v>
      </c>
    </row>
    <row r="15" spans="2:19" ht="12.75">
      <c r="B15" s="56">
        <v>0.1</v>
      </c>
      <c r="C15" s="21">
        <f t="shared" si="0"/>
        <v>-20.938702892325</v>
      </c>
      <c r="D15" s="42">
        <f t="shared" si="0"/>
        <v>-21.274099669736497</v>
      </c>
      <c r="E15" s="21">
        <f t="shared" si="0"/>
        <v>-21.60687986888011</v>
      </c>
      <c r="F15" s="42">
        <f t="shared" si="0"/>
        <v>-21.93704348975581</v>
      </c>
      <c r="G15" s="21">
        <f t="shared" si="0"/>
        <v>-22.264590532363616</v>
      </c>
      <c r="H15" s="42">
        <f t="shared" si="0"/>
        <v>-22.589520996703524</v>
      </c>
      <c r="I15" s="21">
        <f t="shared" si="0"/>
        <v>-22.911834882775533</v>
      </c>
      <c r="J15" s="42">
        <f t="shared" si="0"/>
        <v>-23.231532190579653</v>
      </c>
      <c r="K15" s="21">
        <f t="shared" si="0"/>
        <v>-23.548612920115854</v>
      </c>
      <c r="L15" s="42">
        <f t="shared" si="0"/>
        <v>-23.86307707138417</v>
      </c>
      <c r="M15" s="21">
        <f t="shared" si="1"/>
        <v>-24.17492464438459</v>
      </c>
      <c r="N15" s="42">
        <f t="shared" si="1"/>
        <v>-24.484155639117102</v>
      </c>
      <c r="O15" s="21">
        <f t="shared" si="1"/>
        <v>-24.790770055581724</v>
      </c>
      <c r="P15" s="42">
        <f t="shared" si="1"/>
        <v>-25.09476789377844</v>
      </c>
      <c r="Q15" s="21">
        <f t="shared" si="1"/>
        <v>-25.39614915370726</v>
      </c>
      <c r="R15" s="41">
        <f t="shared" si="1"/>
        <v>-25.69491383536818</v>
      </c>
      <c r="S15" s="49">
        <f t="shared" si="1"/>
        <v>-25.99106193876121</v>
      </c>
    </row>
    <row r="16" spans="2:19" ht="12.75">
      <c r="B16" s="56">
        <v>0.11</v>
      </c>
      <c r="C16" s="21">
        <f aca="true" t="shared" si="2" ref="C16:L21">(((-$C$40*$C$39*$B16*C$5/3.6)+(0.5*$C$30*$C$38*$C$31*((C$5*C$5)/(3.6*3.6)))+($C$40*$C$39*$C$41*C$5/3.6))*(C$26*C$27))/C$5</f>
        <v>-23.17129610479534</v>
      </c>
      <c r="D16" s="42">
        <f t="shared" si="2"/>
        <v>-23.549816185324417</v>
      </c>
      <c r="E16" s="21">
        <f t="shared" si="2"/>
        <v>-23.925719687585612</v>
      </c>
      <c r="F16" s="42">
        <f t="shared" si="2"/>
        <v>-24.299006611578896</v>
      </c>
      <c r="G16" s="21">
        <f t="shared" si="2"/>
        <v>-24.66967695730429</v>
      </c>
      <c r="H16" s="42">
        <f t="shared" si="2"/>
        <v>-25.037730724761783</v>
      </c>
      <c r="I16" s="21">
        <f t="shared" si="2"/>
        <v>-25.403167913951375</v>
      </c>
      <c r="J16" s="42">
        <f t="shared" si="2"/>
        <v>-25.765988524873077</v>
      </c>
      <c r="K16" s="21">
        <f t="shared" si="2"/>
        <v>-26.126192557526863</v>
      </c>
      <c r="L16" s="42">
        <f t="shared" si="2"/>
        <v>-26.48378001191276</v>
      </c>
      <c r="M16" s="21">
        <f aca="true" t="shared" si="3" ref="M16:S21">(((-$C$40*$C$39*$B16*M$5/3.6)+(0.5*$C$30*$C$38*$C$31*((M$5*M$5)/(3.6*3.6)))+($C$40*$C$39*$C$41*M$5/3.6))*(M$26*M$27))/M$5</f>
        <v>-26.838750888030763</v>
      </c>
      <c r="N16" s="42">
        <f t="shared" si="3"/>
        <v>-27.191105185880858</v>
      </c>
      <c r="O16" s="21">
        <f t="shared" si="3"/>
        <v>-27.540842905463062</v>
      </c>
      <c r="P16" s="42">
        <f t="shared" si="3"/>
        <v>-27.887964046777366</v>
      </c>
      <c r="Q16" s="21">
        <f t="shared" si="3"/>
        <v>-28.232468609823773</v>
      </c>
      <c r="R16" s="41">
        <f t="shared" si="3"/>
        <v>-28.574356594602275</v>
      </c>
      <c r="S16" s="49">
        <f t="shared" si="3"/>
        <v>-28.913628001112883</v>
      </c>
    </row>
    <row r="17" spans="2:19" ht="12.75">
      <c r="B17" s="56">
        <v>0.12</v>
      </c>
      <c r="C17" s="21">
        <f t="shared" si="2"/>
        <v>-25.40388931726567</v>
      </c>
      <c r="D17" s="42">
        <f t="shared" si="2"/>
        <v>-25.825532700912337</v>
      </c>
      <c r="E17" s="21">
        <f t="shared" si="2"/>
        <v>-26.244559506291115</v>
      </c>
      <c r="F17" s="42">
        <f t="shared" si="2"/>
        <v>-26.66096973340198</v>
      </c>
      <c r="G17" s="21">
        <f t="shared" si="2"/>
        <v>-27.074763382244953</v>
      </c>
      <c r="H17" s="42">
        <f t="shared" si="2"/>
        <v>-27.48594045282003</v>
      </c>
      <c r="I17" s="21">
        <f t="shared" si="2"/>
        <v>-27.89450094512721</v>
      </c>
      <c r="J17" s="42">
        <f t="shared" si="2"/>
        <v>-28.30044485916649</v>
      </c>
      <c r="K17" s="21">
        <f t="shared" si="2"/>
        <v>-28.703772194937866</v>
      </c>
      <c r="L17" s="42">
        <f t="shared" si="2"/>
        <v>-29.104482952441348</v>
      </c>
      <c r="M17" s="21">
        <f t="shared" si="3"/>
        <v>-29.502577131676937</v>
      </c>
      <c r="N17" s="42">
        <f t="shared" si="3"/>
        <v>-29.898054732644614</v>
      </c>
      <c r="O17" s="21">
        <f t="shared" si="3"/>
        <v>-30.2909157553444</v>
      </c>
      <c r="P17" s="42">
        <f t="shared" si="3"/>
        <v>-30.681160199776293</v>
      </c>
      <c r="Q17" s="21">
        <f t="shared" si="3"/>
        <v>-31.068788065940275</v>
      </c>
      <c r="R17" s="41">
        <f t="shared" si="3"/>
        <v>-31.453799353836356</v>
      </c>
      <c r="S17" s="49">
        <f t="shared" si="3"/>
        <v>-31.83619406346456</v>
      </c>
    </row>
    <row r="18" spans="2:19" ht="12.75">
      <c r="B18" s="56">
        <v>0.13</v>
      </c>
      <c r="C18" s="21">
        <f t="shared" si="2"/>
        <v>-27.636482529736007</v>
      </c>
      <c r="D18" s="42">
        <f t="shared" si="2"/>
        <v>-28.101249216500264</v>
      </c>
      <c r="E18" s="21">
        <f t="shared" si="2"/>
        <v>-28.563399324996627</v>
      </c>
      <c r="F18" s="42">
        <f t="shared" si="2"/>
        <v>-29.022932855225072</v>
      </c>
      <c r="G18" s="21">
        <f t="shared" si="2"/>
        <v>-29.479849807185634</v>
      </c>
      <c r="H18" s="42">
        <f t="shared" si="2"/>
        <v>-29.93415018087829</v>
      </c>
      <c r="I18" s="21">
        <f t="shared" si="2"/>
        <v>-30.385833976303058</v>
      </c>
      <c r="J18" s="42">
        <f t="shared" si="2"/>
        <v>-30.83490119345992</v>
      </c>
      <c r="K18" s="21">
        <f t="shared" si="2"/>
        <v>-31.281351832348882</v>
      </c>
      <c r="L18" s="42">
        <f t="shared" si="2"/>
        <v>-31.72518589296994</v>
      </c>
      <c r="M18" s="21">
        <f t="shared" si="3"/>
        <v>-32.166403375323114</v>
      </c>
      <c r="N18" s="42">
        <f t="shared" si="3"/>
        <v>-32.60500427940838</v>
      </c>
      <c r="O18" s="21">
        <f t="shared" si="3"/>
        <v>-33.04098860522575</v>
      </c>
      <c r="P18" s="42">
        <f t="shared" si="3"/>
        <v>-33.474356352775224</v>
      </c>
      <c r="Q18" s="21">
        <f t="shared" si="3"/>
        <v>-33.90510752205679</v>
      </c>
      <c r="R18" s="41">
        <f t="shared" si="3"/>
        <v>-34.33324211307046</v>
      </c>
      <c r="S18" s="49">
        <f t="shared" si="3"/>
        <v>-34.758760125816245</v>
      </c>
    </row>
    <row r="19" spans="2:19" ht="12.75">
      <c r="B19" s="56">
        <v>0.14</v>
      </c>
      <c r="C19" s="21">
        <f t="shared" si="2"/>
        <v>-29.86907574220635</v>
      </c>
      <c r="D19" s="42">
        <f t="shared" si="2"/>
        <v>-30.376965732088184</v>
      </c>
      <c r="E19" s="21">
        <f t="shared" si="2"/>
        <v>-30.88223914370213</v>
      </c>
      <c r="F19" s="42">
        <f t="shared" si="2"/>
        <v>-31.38489597704816</v>
      </c>
      <c r="G19" s="21">
        <f t="shared" si="2"/>
        <v>-31.884936232126307</v>
      </c>
      <c r="H19" s="42">
        <f t="shared" si="2"/>
        <v>-32.38235990893655</v>
      </c>
      <c r="I19" s="21">
        <f t="shared" si="2"/>
        <v>-32.877167007478896</v>
      </c>
      <c r="J19" s="42">
        <f t="shared" si="2"/>
        <v>-33.369357527753344</v>
      </c>
      <c r="K19" s="21">
        <f t="shared" si="2"/>
        <v>-33.85893146975989</v>
      </c>
      <c r="L19" s="42">
        <f t="shared" si="2"/>
        <v>-34.345888833498535</v>
      </c>
      <c r="M19" s="21">
        <f t="shared" si="3"/>
        <v>-34.83022961896929</v>
      </c>
      <c r="N19" s="42">
        <f t="shared" si="3"/>
        <v>-35.311953826172136</v>
      </c>
      <c r="O19" s="21">
        <f t="shared" si="3"/>
        <v>-35.791061455107105</v>
      </c>
      <c r="P19" s="42">
        <f t="shared" si="3"/>
        <v>-36.26755250577414</v>
      </c>
      <c r="Q19" s="21">
        <f t="shared" si="3"/>
        <v>-36.7414269781733</v>
      </c>
      <c r="R19" s="41">
        <f t="shared" si="3"/>
        <v>-37.21268487230457</v>
      </c>
      <c r="S19" s="49">
        <f t="shared" si="3"/>
        <v>-37.681326188167915</v>
      </c>
    </row>
    <row r="20" spans="2:19" ht="12.75">
      <c r="B20" s="56">
        <v>0.15</v>
      </c>
      <c r="C20" s="21">
        <f t="shared" si="2"/>
        <v>-32.101668954676676</v>
      </c>
      <c r="D20" s="42">
        <f t="shared" si="2"/>
        <v>-32.652682247676104</v>
      </c>
      <c r="E20" s="21">
        <f t="shared" si="2"/>
        <v>-33.20107896240763</v>
      </c>
      <c r="F20" s="42">
        <f t="shared" si="2"/>
        <v>-33.74685909887124</v>
      </c>
      <c r="G20" s="21">
        <f t="shared" si="2"/>
        <v>-34.29002265706697</v>
      </c>
      <c r="H20" s="42">
        <f t="shared" si="2"/>
        <v>-34.830569636994795</v>
      </c>
      <c r="I20" s="21">
        <f t="shared" si="2"/>
        <v>-35.36850003865473</v>
      </c>
      <c r="J20" s="42">
        <f t="shared" si="2"/>
        <v>-35.90381386204676</v>
      </c>
      <c r="K20" s="21">
        <f t="shared" si="2"/>
        <v>-36.43651110717089</v>
      </c>
      <c r="L20" s="42">
        <f t="shared" si="2"/>
        <v>-36.96659177402712</v>
      </c>
      <c r="M20" s="21">
        <f t="shared" si="3"/>
        <v>-37.494055862615454</v>
      </c>
      <c r="N20" s="42">
        <f t="shared" si="3"/>
        <v>-38.018903372935895</v>
      </c>
      <c r="O20" s="21">
        <f t="shared" si="3"/>
        <v>-38.54113430498844</v>
      </c>
      <c r="P20" s="42">
        <f t="shared" si="3"/>
        <v>-39.06074865877308</v>
      </c>
      <c r="Q20" s="21">
        <f t="shared" si="3"/>
        <v>-39.57774643428981</v>
      </c>
      <c r="R20" s="41">
        <f t="shared" si="3"/>
        <v>-40.092127631538645</v>
      </c>
      <c r="S20" s="49">
        <f t="shared" si="3"/>
        <v>-40.6038922505196</v>
      </c>
    </row>
    <row r="21" spans="2:19" ht="13.5" thickBot="1">
      <c r="B21" s="57">
        <v>0.16</v>
      </c>
      <c r="C21" s="46">
        <f t="shared" si="2"/>
        <v>-34.33426216714701</v>
      </c>
      <c r="D21" s="43">
        <f t="shared" si="2"/>
        <v>-34.92839876326401</v>
      </c>
      <c r="E21" s="46">
        <f t="shared" si="2"/>
        <v>-35.51991878111313</v>
      </c>
      <c r="F21" s="43">
        <f t="shared" si="2"/>
        <v>-36.108822220694336</v>
      </c>
      <c r="G21" s="46">
        <f t="shared" si="2"/>
        <v>-36.69510908200764</v>
      </c>
      <c r="H21" s="43">
        <f t="shared" si="2"/>
        <v>-37.278779365053055</v>
      </c>
      <c r="I21" s="46">
        <f t="shared" si="2"/>
        <v>-37.859833069830565</v>
      </c>
      <c r="J21" s="43">
        <f t="shared" si="2"/>
        <v>-38.43827019634019</v>
      </c>
      <c r="K21" s="46">
        <f t="shared" si="2"/>
        <v>-39.014090744581885</v>
      </c>
      <c r="L21" s="43">
        <f t="shared" si="2"/>
        <v>-39.58729471455571</v>
      </c>
      <c r="M21" s="46">
        <f t="shared" si="3"/>
        <v>-40.15788210626163</v>
      </c>
      <c r="N21" s="43">
        <f t="shared" si="3"/>
        <v>-40.725852919699655</v>
      </c>
      <c r="O21" s="46">
        <f t="shared" si="3"/>
        <v>-41.29120715486978</v>
      </c>
      <c r="P21" s="43">
        <f t="shared" si="3"/>
        <v>-41.853944811771996</v>
      </c>
      <c r="Q21" s="46">
        <f t="shared" si="3"/>
        <v>-42.41406589040632</v>
      </c>
      <c r="R21" s="51">
        <f t="shared" si="3"/>
        <v>-42.97157039077275</v>
      </c>
      <c r="S21" s="50">
        <f t="shared" si="3"/>
        <v>-43.52645831287126</v>
      </c>
    </row>
    <row r="26" spans="2:19" ht="12.75">
      <c r="B26" s="42" t="s">
        <v>71</v>
      </c>
      <c r="C26" s="45">
        <v>0.6502383027436538</v>
      </c>
      <c r="D26" s="41">
        <v>0.6627978784295673</v>
      </c>
      <c r="E26" s="45">
        <v>0.6753574541154808</v>
      </c>
      <c r="F26" s="41">
        <v>0.6879170298013941</v>
      </c>
      <c r="G26" s="45">
        <v>0.7004766054873076</v>
      </c>
      <c r="H26" s="41">
        <v>0.7130361811732211</v>
      </c>
      <c r="I26" s="45">
        <v>0.7255957568591346</v>
      </c>
      <c r="J26" s="41">
        <v>0.7381553325450481</v>
      </c>
      <c r="K26" s="45">
        <v>0.7507149082309614</v>
      </c>
      <c r="L26" s="41">
        <v>0.7632744839168749</v>
      </c>
      <c r="M26" s="45">
        <v>0.7758340596027884</v>
      </c>
      <c r="N26" s="41">
        <v>0.7883936352887019</v>
      </c>
      <c r="O26" s="45">
        <v>0.8009532109746154</v>
      </c>
      <c r="P26" s="41">
        <v>0.8135127866605287</v>
      </c>
      <c r="Q26" s="45">
        <v>0.8260723623464422</v>
      </c>
      <c r="R26" s="41">
        <v>0.8386319380323557</v>
      </c>
      <c r="S26" s="48">
        <v>0.8511915137182692</v>
      </c>
    </row>
    <row r="27" spans="2:19" ht="12.75">
      <c r="B27" s="42" t="s">
        <v>72</v>
      </c>
      <c r="C27" s="45">
        <v>0.9</v>
      </c>
      <c r="D27" s="41">
        <v>0.9</v>
      </c>
      <c r="E27" s="45">
        <v>0.9</v>
      </c>
      <c r="F27" s="41">
        <v>0.9</v>
      </c>
      <c r="G27" s="45">
        <v>0.9</v>
      </c>
      <c r="H27" s="41">
        <v>0.9</v>
      </c>
      <c r="I27" s="45">
        <v>0.9</v>
      </c>
      <c r="J27" s="41">
        <v>0.9</v>
      </c>
      <c r="K27" s="45">
        <v>0.9</v>
      </c>
      <c r="L27" s="41">
        <v>0.9</v>
      </c>
      <c r="M27" s="45">
        <v>0.9</v>
      </c>
      <c r="N27" s="41">
        <v>0.9</v>
      </c>
      <c r="O27" s="45">
        <v>0.9</v>
      </c>
      <c r="P27" s="41">
        <v>0.9</v>
      </c>
      <c r="Q27" s="45">
        <v>0.9</v>
      </c>
      <c r="R27" s="41">
        <v>0.9</v>
      </c>
      <c r="S27" s="48">
        <v>0.9</v>
      </c>
    </row>
    <row r="28" spans="2:3" ht="12.75">
      <c r="B28" s="2"/>
      <c r="C28" s="1" t="s">
        <v>1</v>
      </c>
    </row>
    <row r="29" ht="12.75">
      <c r="B29" s="2"/>
    </row>
    <row r="30" spans="2:3" ht="12.75">
      <c r="B30" s="2" t="s">
        <v>2</v>
      </c>
      <c r="C30" s="1">
        <v>1.2</v>
      </c>
    </row>
    <row r="31" spans="2:3" ht="12.75">
      <c r="B31" s="2" t="s">
        <v>3</v>
      </c>
      <c r="C31" s="1">
        <v>0.5</v>
      </c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2:3" ht="12.75">
      <c r="B36" s="2" t="s">
        <v>4</v>
      </c>
      <c r="C36" s="1">
        <v>3200</v>
      </c>
    </row>
    <row r="37" spans="2:3" ht="12.75">
      <c r="B37" s="2" t="s">
        <v>5</v>
      </c>
      <c r="C37" s="1">
        <v>400</v>
      </c>
    </row>
    <row r="38" spans="2:3" ht="12.75">
      <c r="B38" s="2" t="s">
        <v>6</v>
      </c>
      <c r="C38" s="1">
        <v>2</v>
      </c>
    </row>
    <row r="39" spans="2:3" ht="12.75">
      <c r="B39" s="2" t="s">
        <v>7</v>
      </c>
      <c r="C39" s="1">
        <v>140</v>
      </c>
    </row>
    <row r="40" spans="2:3" ht="12.75">
      <c r="B40" s="2" t="s">
        <v>8</v>
      </c>
      <c r="C40" s="1">
        <v>9.81</v>
      </c>
    </row>
    <row r="41" spans="2:3" ht="12.75">
      <c r="B41" s="2" t="s">
        <v>9</v>
      </c>
      <c r="C41" s="1">
        <v>0.005</v>
      </c>
    </row>
    <row r="42" ht="12.75">
      <c r="B42" s="2"/>
    </row>
    <row r="43" ht="12.75">
      <c r="B43" s="2"/>
    </row>
    <row r="44" spans="2:3" ht="12.75">
      <c r="B44" s="2" t="s">
        <v>10</v>
      </c>
      <c r="C44" s="1">
        <v>0.33</v>
      </c>
    </row>
    <row r="45" ht="12.75">
      <c r="B45" s="2"/>
    </row>
    <row r="46" spans="2:3" ht="12.75">
      <c r="B46" s="2" t="s">
        <v>23</v>
      </c>
      <c r="C46" s="1">
        <f>C36</f>
        <v>3200</v>
      </c>
    </row>
    <row r="47" spans="2:3" ht="12.75">
      <c r="B47" s="2" t="s">
        <v>24</v>
      </c>
      <c r="C47" s="1">
        <f>C46/60</f>
        <v>53.333333333333336</v>
      </c>
    </row>
    <row r="48" spans="2:3" ht="12.75">
      <c r="B48" s="2" t="s">
        <v>25</v>
      </c>
      <c r="C48" s="1">
        <f>C47/60</f>
        <v>0.888888888888889</v>
      </c>
    </row>
    <row r="49" ht="12.75">
      <c r="B49" s="2"/>
    </row>
    <row r="50" spans="2:3" ht="12.75">
      <c r="B50" s="2" t="s">
        <v>31</v>
      </c>
      <c r="C50" s="1">
        <v>0.85</v>
      </c>
    </row>
    <row r="51" ht="12.75">
      <c r="B51" s="2"/>
    </row>
    <row r="52" ht="12.75">
      <c r="B52" s="2"/>
    </row>
    <row r="53" spans="2:3" ht="12.75">
      <c r="B53" s="2" t="s">
        <v>32</v>
      </c>
      <c r="C53" s="1">
        <v>0.8</v>
      </c>
    </row>
    <row r="54" spans="2:4" ht="12.75">
      <c r="B54" s="2" t="s">
        <v>33</v>
      </c>
      <c r="C54" s="1">
        <v>0.9</v>
      </c>
      <c r="D54" s="1">
        <f>C50*C54</f>
        <v>0.765</v>
      </c>
    </row>
    <row r="55" spans="2:3" ht="12.75">
      <c r="B55" s="2" t="s">
        <v>34</v>
      </c>
      <c r="C55" s="1">
        <f>C50*C53*C54</f>
        <v>0.6120000000000001</v>
      </c>
    </row>
    <row r="56" ht="12.75">
      <c r="B56" s="2"/>
    </row>
    <row r="57" spans="2:3" ht="12.75">
      <c r="B57" s="2" t="s">
        <v>35</v>
      </c>
      <c r="C57" s="1">
        <v>20</v>
      </c>
    </row>
    <row r="58" spans="2:3" ht="12.75">
      <c r="B58" s="2" t="s">
        <v>36</v>
      </c>
      <c r="C58" s="1">
        <v>48</v>
      </c>
    </row>
    <row r="59" spans="2:3" ht="12.75">
      <c r="B59" s="2" t="s">
        <v>37</v>
      </c>
      <c r="C59" s="1">
        <f>2*C58*C57</f>
        <v>1920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G2" sqref="G2"/>
    </sheetView>
  </sheetViews>
  <sheetFormatPr defaultColWidth="11.421875" defaultRowHeight="12.75"/>
  <cols>
    <col min="1" max="4" width="11.421875" style="23" customWidth="1"/>
    <col min="5" max="6" width="11.421875" style="64" customWidth="1"/>
    <col min="7" max="16384" width="11.421875" style="23" customWidth="1"/>
  </cols>
  <sheetData>
    <row r="1" spans="2:9" ht="13.5" thickBot="1">
      <c r="B1" s="23" t="s">
        <v>40</v>
      </c>
      <c r="C1" s="23" t="s">
        <v>78</v>
      </c>
      <c r="D1" s="23" t="s">
        <v>79</v>
      </c>
      <c r="E1" s="64" t="s">
        <v>80</v>
      </c>
      <c r="F1" s="64" t="s">
        <v>20</v>
      </c>
      <c r="G1" s="23" t="s">
        <v>14</v>
      </c>
      <c r="H1" s="23" t="s">
        <v>15</v>
      </c>
      <c r="I1" s="23" t="s">
        <v>16</v>
      </c>
    </row>
    <row r="2" spans="1:9" ht="12.75">
      <c r="A2" s="23">
        <v>0</v>
      </c>
      <c r="B2" s="35">
        <v>1</v>
      </c>
      <c r="C2" s="27">
        <v>140</v>
      </c>
      <c r="D2" s="28">
        <f>B2*C2</f>
        <v>140</v>
      </c>
      <c r="E2" s="64">
        <f>3.6*(D2-(9.81*140*A$2)-(9.81*140*0.005))/(0.5*0.5*2*1.2)</f>
        <v>798.7980000000001</v>
      </c>
      <c r="F2" s="64">
        <f>(D2-(9.81*140*A$2)-(9.81*140*0.005))/(0.5*0.5*2*1.2)</f>
        <v>221.88833333333335</v>
      </c>
      <c r="G2" s="23">
        <f>(9.81*140*A$2)</f>
        <v>0</v>
      </c>
      <c r="H2" s="23">
        <f>(9.81*140*0.005)</f>
        <v>6.867000000000001</v>
      </c>
      <c r="I2" s="23">
        <f>(0.5*0.5*2*1.2)</f>
        <v>0.6</v>
      </c>
    </row>
    <row r="3" spans="2:4" ht="12.75">
      <c r="B3" s="29">
        <v>1.5</v>
      </c>
      <c r="C3" s="24">
        <v>140</v>
      </c>
      <c r="D3" s="30">
        <f aca="true" t="shared" si="0" ref="D3:D11">B3*C3</f>
        <v>210</v>
      </c>
    </row>
    <row r="4" spans="2:4" ht="12.75">
      <c r="B4" s="29">
        <v>2</v>
      </c>
      <c r="C4" s="24">
        <v>140</v>
      </c>
      <c r="D4" s="30">
        <f t="shared" si="0"/>
        <v>280</v>
      </c>
    </row>
    <row r="5" spans="2:4" ht="12.75">
      <c r="B5" s="29">
        <v>2.5</v>
      </c>
      <c r="C5" s="24">
        <v>140</v>
      </c>
      <c r="D5" s="30">
        <f t="shared" si="0"/>
        <v>350</v>
      </c>
    </row>
    <row r="6" spans="2:4" ht="12.75">
      <c r="B6" s="29">
        <v>3</v>
      </c>
      <c r="C6" s="24">
        <v>140</v>
      </c>
      <c r="D6" s="30">
        <f t="shared" si="0"/>
        <v>420</v>
      </c>
    </row>
    <row r="7" spans="2:4" ht="12.75">
      <c r="B7" s="29">
        <v>3.5</v>
      </c>
      <c r="C7" s="24">
        <v>140</v>
      </c>
      <c r="D7" s="30">
        <f t="shared" si="0"/>
        <v>490</v>
      </c>
    </row>
    <row r="8" spans="2:4" ht="12.75">
      <c r="B8" s="29">
        <v>4</v>
      </c>
      <c r="C8" s="24">
        <v>140</v>
      </c>
      <c r="D8" s="30">
        <f t="shared" si="0"/>
        <v>560</v>
      </c>
    </row>
    <row r="9" spans="2:4" ht="12.75">
      <c r="B9" s="29">
        <v>4.5</v>
      </c>
      <c r="C9" s="24">
        <v>140</v>
      </c>
      <c r="D9" s="30">
        <f t="shared" si="0"/>
        <v>630</v>
      </c>
    </row>
    <row r="10" spans="2:4" ht="12.75">
      <c r="B10" s="29">
        <v>5</v>
      </c>
      <c r="C10" s="24">
        <v>140</v>
      </c>
      <c r="D10" s="30">
        <f t="shared" si="0"/>
        <v>700</v>
      </c>
    </row>
    <row r="11" spans="2:4" ht="13.5" thickBot="1">
      <c r="B11" s="61">
        <v>5.5</v>
      </c>
      <c r="C11" s="62">
        <v>140</v>
      </c>
      <c r="D11" s="63">
        <f t="shared" si="0"/>
        <v>770</v>
      </c>
    </row>
    <row r="12" spans="1:9" ht="12.75">
      <c r="A12" s="23">
        <v>0.04</v>
      </c>
      <c r="B12" s="35">
        <v>1</v>
      </c>
      <c r="C12" s="27">
        <v>140</v>
      </c>
      <c r="D12" s="28">
        <f>B12*C12</f>
        <v>140</v>
      </c>
      <c r="G12" s="23">
        <f>(9.81*140*A$12)</f>
        <v>54.93600000000001</v>
      </c>
      <c r="H12" s="23">
        <f>(9.81*140*0.005)</f>
        <v>6.867000000000001</v>
      </c>
      <c r="I12" s="23">
        <f>(0.5*0.5*2*1.2)</f>
        <v>0.6</v>
      </c>
    </row>
    <row r="13" spans="2:4" ht="12.75">
      <c r="B13" s="29">
        <v>1.5</v>
      </c>
      <c r="C13" s="24">
        <v>140</v>
      </c>
      <c r="D13" s="30">
        <f aca="true" t="shared" si="1" ref="D13:D21">B13*C13</f>
        <v>210</v>
      </c>
    </row>
    <row r="14" spans="2:4" ht="12.75">
      <c r="B14" s="29">
        <v>2</v>
      </c>
      <c r="C14" s="24">
        <v>140</v>
      </c>
      <c r="D14" s="30">
        <f t="shared" si="1"/>
        <v>280</v>
      </c>
    </row>
    <row r="15" spans="2:4" ht="12.75">
      <c r="B15" s="29">
        <v>2.5</v>
      </c>
      <c r="C15" s="24">
        <v>140</v>
      </c>
      <c r="D15" s="30">
        <f t="shared" si="1"/>
        <v>350</v>
      </c>
    </row>
    <row r="16" spans="2:4" ht="12.75">
      <c r="B16" s="29">
        <v>3</v>
      </c>
      <c r="C16" s="24">
        <v>140</v>
      </c>
      <c r="D16" s="30">
        <f t="shared" si="1"/>
        <v>420</v>
      </c>
    </row>
    <row r="17" spans="2:4" ht="12.75">
      <c r="B17" s="29">
        <v>3.5</v>
      </c>
      <c r="C17" s="24">
        <v>140</v>
      </c>
      <c r="D17" s="30">
        <f t="shared" si="1"/>
        <v>490</v>
      </c>
    </row>
    <row r="18" spans="2:4" ht="12.75">
      <c r="B18" s="29">
        <v>4</v>
      </c>
      <c r="C18" s="24">
        <v>140</v>
      </c>
      <c r="D18" s="30">
        <f t="shared" si="1"/>
        <v>560</v>
      </c>
    </row>
    <row r="19" spans="2:4" ht="12.75">
      <c r="B19" s="29">
        <v>4.5</v>
      </c>
      <c r="C19" s="24">
        <v>140</v>
      </c>
      <c r="D19" s="30">
        <f t="shared" si="1"/>
        <v>630</v>
      </c>
    </row>
    <row r="20" spans="2:4" ht="12.75">
      <c r="B20" s="29">
        <v>5</v>
      </c>
      <c r="C20" s="24">
        <v>140</v>
      </c>
      <c r="D20" s="30">
        <f t="shared" si="1"/>
        <v>700</v>
      </c>
    </row>
    <row r="21" spans="2:4" ht="13.5" thickBot="1">
      <c r="B21" s="58">
        <v>5.5</v>
      </c>
      <c r="C21" s="59">
        <v>140</v>
      </c>
      <c r="D21" s="60">
        <f t="shared" si="1"/>
        <v>770</v>
      </c>
    </row>
    <row r="22" spans="1:7" ht="12.75">
      <c r="A22" s="23">
        <v>0.08</v>
      </c>
      <c r="B22" s="35">
        <v>1</v>
      </c>
      <c r="C22" s="27">
        <v>140</v>
      </c>
      <c r="D22" s="28">
        <f>B22*C22</f>
        <v>140</v>
      </c>
      <c r="G22" s="23">
        <f>(9.81*140*A$22)</f>
        <v>109.87200000000001</v>
      </c>
    </row>
    <row r="23" spans="2:4" ht="12.75">
      <c r="B23" s="29">
        <v>1.5</v>
      </c>
      <c r="C23" s="24">
        <v>140</v>
      </c>
      <c r="D23" s="30">
        <f aca="true" t="shared" si="2" ref="D23:D31">B23*C23</f>
        <v>210</v>
      </c>
    </row>
    <row r="24" spans="2:4" ht="12.75">
      <c r="B24" s="29">
        <v>2</v>
      </c>
      <c r="C24" s="24">
        <v>140</v>
      </c>
      <c r="D24" s="30">
        <f t="shared" si="2"/>
        <v>280</v>
      </c>
    </row>
    <row r="25" spans="2:4" ht="12.75">
      <c r="B25" s="29">
        <v>2.5</v>
      </c>
      <c r="C25" s="24">
        <v>140</v>
      </c>
      <c r="D25" s="30">
        <f t="shared" si="2"/>
        <v>350</v>
      </c>
    </row>
    <row r="26" spans="2:4" ht="12.75">
      <c r="B26" s="29">
        <v>3</v>
      </c>
      <c r="C26" s="24">
        <v>140</v>
      </c>
      <c r="D26" s="30">
        <f t="shared" si="2"/>
        <v>420</v>
      </c>
    </row>
    <row r="27" spans="2:4" ht="12.75">
      <c r="B27" s="29">
        <v>3.5</v>
      </c>
      <c r="C27" s="24">
        <v>140</v>
      </c>
      <c r="D27" s="30">
        <f t="shared" si="2"/>
        <v>490</v>
      </c>
    </row>
    <row r="28" spans="2:4" ht="12.75">
      <c r="B28" s="29">
        <v>4</v>
      </c>
      <c r="C28" s="24">
        <v>140</v>
      </c>
      <c r="D28" s="30">
        <f t="shared" si="2"/>
        <v>560</v>
      </c>
    </row>
    <row r="29" spans="2:4" ht="12.75">
      <c r="B29" s="29">
        <v>4.5</v>
      </c>
      <c r="C29" s="24">
        <v>140</v>
      </c>
      <c r="D29" s="30">
        <f t="shared" si="2"/>
        <v>630</v>
      </c>
    </row>
    <row r="30" spans="2:4" ht="12.75">
      <c r="B30" s="29">
        <v>5</v>
      </c>
      <c r="C30" s="24">
        <v>140</v>
      </c>
      <c r="D30" s="30">
        <f t="shared" si="2"/>
        <v>700</v>
      </c>
    </row>
    <row r="31" spans="2:4" ht="13.5" thickBot="1">
      <c r="B31" s="58">
        <v>5.5</v>
      </c>
      <c r="C31" s="59">
        <v>140</v>
      </c>
      <c r="D31" s="60">
        <f t="shared" si="2"/>
        <v>770</v>
      </c>
    </row>
    <row r="32" spans="1:7" ht="12.75">
      <c r="A32" s="23">
        <v>0.12</v>
      </c>
      <c r="B32" s="35">
        <v>1</v>
      </c>
      <c r="C32" s="27">
        <v>140</v>
      </c>
      <c r="D32" s="28">
        <f>B32*C32</f>
        <v>140</v>
      </c>
      <c r="G32" s="23">
        <f>(9.81*140*A$32)</f>
        <v>164.808</v>
      </c>
    </row>
    <row r="33" spans="2:4" ht="12.75">
      <c r="B33" s="29">
        <v>1.5</v>
      </c>
      <c r="C33" s="24">
        <v>140</v>
      </c>
      <c r="D33" s="30">
        <f aca="true" t="shared" si="3" ref="D33:D41">B33*C33</f>
        <v>210</v>
      </c>
    </row>
    <row r="34" spans="2:4" ht="12.75">
      <c r="B34" s="29">
        <v>2</v>
      </c>
      <c r="C34" s="24">
        <v>140</v>
      </c>
      <c r="D34" s="30">
        <f t="shared" si="3"/>
        <v>280</v>
      </c>
    </row>
    <row r="35" spans="2:4" ht="12.75">
      <c r="B35" s="29">
        <v>2.5</v>
      </c>
      <c r="C35" s="24">
        <v>140</v>
      </c>
      <c r="D35" s="30">
        <f t="shared" si="3"/>
        <v>350</v>
      </c>
    </row>
    <row r="36" spans="2:4" ht="12.75">
      <c r="B36" s="29">
        <v>3</v>
      </c>
      <c r="C36" s="24">
        <v>140</v>
      </c>
      <c r="D36" s="30">
        <f t="shared" si="3"/>
        <v>420</v>
      </c>
    </row>
    <row r="37" spans="2:4" ht="12.75">
      <c r="B37" s="29">
        <v>3.5</v>
      </c>
      <c r="C37" s="24">
        <v>140</v>
      </c>
      <c r="D37" s="30">
        <f t="shared" si="3"/>
        <v>490</v>
      </c>
    </row>
    <row r="38" spans="2:4" ht="12.75">
      <c r="B38" s="29">
        <v>4</v>
      </c>
      <c r="C38" s="24">
        <v>140</v>
      </c>
      <c r="D38" s="30">
        <f t="shared" si="3"/>
        <v>560</v>
      </c>
    </row>
    <row r="39" spans="2:4" ht="12.75">
      <c r="B39" s="29">
        <v>4.5</v>
      </c>
      <c r="C39" s="24">
        <v>140</v>
      </c>
      <c r="D39" s="30">
        <f t="shared" si="3"/>
        <v>630</v>
      </c>
    </row>
    <row r="40" spans="2:4" ht="12.75">
      <c r="B40" s="29">
        <v>5</v>
      </c>
      <c r="C40" s="24">
        <v>140</v>
      </c>
      <c r="D40" s="30">
        <f t="shared" si="3"/>
        <v>700</v>
      </c>
    </row>
    <row r="41" spans="2:4" ht="13.5" thickBot="1">
      <c r="B41" s="58">
        <v>5.5</v>
      </c>
      <c r="C41" s="59">
        <v>140</v>
      </c>
      <c r="D41" s="60">
        <f t="shared" si="3"/>
        <v>770</v>
      </c>
    </row>
    <row r="42" spans="1:7" ht="12.75">
      <c r="A42" s="23">
        <v>0.14</v>
      </c>
      <c r="B42" s="35">
        <v>1</v>
      </c>
      <c r="C42" s="27">
        <v>140</v>
      </c>
      <c r="D42" s="28">
        <f>B42*C42</f>
        <v>140</v>
      </c>
      <c r="G42" s="23">
        <f>(9.81*140*A$42)</f>
        <v>192.27600000000004</v>
      </c>
    </row>
    <row r="43" spans="2:4" ht="12.75">
      <c r="B43" s="29">
        <v>1.5</v>
      </c>
      <c r="C43" s="24">
        <v>140</v>
      </c>
      <c r="D43" s="30">
        <f aca="true" t="shared" si="4" ref="D43:D51">B43*C43</f>
        <v>210</v>
      </c>
    </row>
    <row r="44" spans="2:4" ht="12.75">
      <c r="B44" s="29">
        <v>2</v>
      </c>
      <c r="C44" s="24">
        <v>140</v>
      </c>
      <c r="D44" s="30">
        <f t="shared" si="4"/>
        <v>280</v>
      </c>
    </row>
    <row r="45" spans="2:4" ht="12.75">
      <c r="B45" s="29">
        <v>2.5</v>
      </c>
      <c r="C45" s="24">
        <v>140</v>
      </c>
      <c r="D45" s="30">
        <f t="shared" si="4"/>
        <v>350</v>
      </c>
    </row>
    <row r="46" spans="2:4" ht="12.75">
      <c r="B46" s="29">
        <v>3</v>
      </c>
      <c r="C46" s="24">
        <v>140</v>
      </c>
      <c r="D46" s="30">
        <f t="shared" si="4"/>
        <v>420</v>
      </c>
    </row>
    <row r="47" spans="2:4" ht="12.75">
      <c r="B47" s="29">
        <v>3.5</v>
      </c>
      <c r="C47" s="24">
        <v>140</v>
      </c>
      <c r="D47" s="30">
        <f t="shared" si="4"/>
        <v>490</v>
      </c>
    </row>
    <row r="48" spans="2:4" ht="12.75">
      <c r="B48" s="29">
        <v>4</v>
      </c>
      <c r="C48" s="24">
        <v>140</v>
      </c>
      <c r="D48" s="30">
        <f t="shared" si="4"/>
        <v>560</v>
      </c>
    </row>
    <row r="49" spans="2:4" ht="12.75">
      <c r="B49" s="29">
        <v>4.5</v>
      </c>
      <c r="C49" s="24">
        <v>140</v>
      </c>
      <c r="D49" s="30">
        <f t="shared" si="4"/>
        <v>630</v>
      </c>
    </row>
    <row r="50" spans="2:4" ht="12.75">
      <c r="B50" s="29">
        <v>5</v>
      </c>
      <c r="C50" s="24">
        <v>140</v>
      </c>
      <c r="D50" s="30">
        <f t="shared" si="4"/>
        <v>700</v>
      </c>
    </row>
    <row r="51" spans="2:4" ht="13.5" thickBot="1">
      <c r="B51" s="58">
        <v>5.5</v>
      </c>
      <c r="C51" s="59">
        <v>140</v>
      </c>
      <c r="D51" s="60">
        <f t="shared" si="4"/>
        <v>770</v>
      </c>
    </row>
    <row r="52" spans="1:7" ht="12.75">
      <c r="A52" s="23">
        <v>0.16</v>
      </c>
      <c r="B52" s="35">
        <v>1</v>
      </c>
      <c r="C52" s="27">
        <v>140</v>
      </c>
      <c r="D52" s="28">
        <f>B52*C52</f>
        <v>140</v>
      </c>
      <c r="G52" s="23">
        <f>(9.81*140*A$52)</f>
        <v>219.74400000000003</v>
      </c>
    </row>
    <row r="53" spans="2:4" ht="12.75">
      <c r="B53" s="29">
        <v>1.5</v>
      </c>
      <c r="C53" s="24">
        <v>140</v>
      </c>
      <c r="D53" s="30">
        <f aca="true" t="shared" si="5" ref="D53:D61">B53*C53</f>
        <v>210</v>
      </c>
    </row>
    <row r="54" spans="2:4" ht="12.75">
      <c r="B54" s="29">
        <v>2</v>
      </c>
      <c r="C54" s="24">
        <v>140</v>
      </c>
      <c r="D54" s="30">
        <f t="shared" si="5"/>
        <v>280</v>
      </c>
    </row>
    <row r="55" spans="2:4" ht="12.75">
      <c r="B55" s="29">
        <v>2.5</v>
      </c>
      <c r="C55" s="24">
        <v>140</v>
      </c>
      <c r="D55" s="30">
        <f t="shared" si="5"/>
        <v>350</v>
      </c>
    </row>
    <row r="56" spans="2:4" ht="12.75">
      <c r="B56" s="29">
        <v>3</v>
      </c>
      <c r="C56" s="24">
        <v>140</v>
      </c>
      <c r="D56" s="30">
        <f t="shared" si="5"/>
        <v>420</v>
      </c>
    </row>
    <row r="57" spans="2:4" ht="12.75">
      <c r="B57" s="29">
        <v>3.5</v>
      </c>
      <c r="C57" s="24">
        <v>140</v>
      </c>
      <c r="D57" s="30">
        <f t="shared" si="5"/>
        <v>490</v>
      </c>
    </row>
    <row r="58" spans="2:4" ht="12.75">
      <c r="B58" s="29">
        <v>4</v>
      </c>
      <c r="C58" s="24">
        <v>140</v>
      </c>
      <c r="D58" s="30">
        <f t="shared" si="5"/>
        <v>560</v>
      </c>
    </row>
    <row r="59" spans="2:4" ht="12.75">
      <c r="B59" s="29">
        <v>4.5</v>
      </c>
      <c r="C59" s="24">
        <v>140</v>
      </c>
      <c r="D59" s="30">
        <f t="shared" si="5"/>
        <v>630</v>
      </c>
    </row>
    <row r="60" spans="2:4" ht="12.75">
      <c r="B60" s="29">
        <v>5</v>
      </c>
      <c r="C60" s="24">
        <v>140</v>
      </c>
      <c r="D60" s="30">
        <f t="shared" si="5"/>
        <v>700</v>
      </c>
    </row>
    <row r="61" spans="2:4" ht="13.5" thickBot="1">
      <c r="B61" s="58">
        <v>5.5</v>
      </c>
      <c r="C61" s="59">
        <v>140</v>
      </c>
      <c r="D61" s="60">
        <f t="shared" si="5"/>
        <v>770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2008-02-25T12:57:41Z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